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Assumptions" sheetId="2" state="visible" r:id="rId2"/>
    <sheet name="Revenue" sheetId="3" state="visible" r:id="rId3"/>
    <sheet name="Budget" sheetId="4" state="visible" r:id="rId4"/>
    <sheet name="Delivery team" sheetId="5" state="visible" r:id="rId5"/>
    <sheet name="Runway" sheetId="6" state="visible" r:id="rId6"/>
  </sheets>
  <definedNames>
    <definedName name="Members_Low">Assumptions!$B$7</definedName>
    <definedName name="Members_Base">Assumptions!$B$8</definedName>
    <definedName name="Members_High">Assumptions!$B$9</definedName>
    <definedName name="Price_Weekly">Assumptions!$B$11</definedName>
    <definedName name="Price_Monthly">Assumptions!$B$12</definedName>
    <definedName name="Price_Annual">Assumptions!$B$13</definedName>
    <definedName name="Weeks_per_year">Assumptions!$B$14</definedName>
    <definedName name="Mix_Weekly">Assumptions!$B$16</definedName>
    <definedName name="Mix_Monthly">Assumptions!$B$17</definedName>
    <definedName name="Mix_Annual">Assumptions!$B$18</definedName>
    <definedName name="VAT_Rate">Assumptions!$B$21</definedName>
    <definedName name="Apple_Rate_Y1">Assumptions!$B$22</definedName>
    <definedName name="Apple_Rate_Y2">Assumptions!$B$23</definedName>
    <definedName name="Contract_Share">Assumptions!$B$24</definedName>
    <definedName name="Contract_Price">Assumptions!$B$25</definedName>
    <definedName name="Round_Net">Assumptions!$B$26</definedName>
    <definedName name="Ins_TakeUp">Assumptions!$B$28</definedName>
    <definedName name="Ins_Premium">Assumptions!$B$29</definedName>
    <definedName name="Ins_Share">Assumptions!$B$30</definedName>
    <definedName name="Legal_Include">Assumptions!$B$32</definedName>
    <definedName name="Claim_Rate">Assumptions!$B$33</definedName>
    <definedName name="Legal_Fees_Per_Claim">Assumptions!$B$34</definedName>
    <definedName name="Referral_Rate">Assumptions!$B$35</definedName>
    <definedName name="Bud_Servers">Assumptions!$B$38</definedName>
    <definedName name="Bud_CallCentre">Assumptions!$B$39</definedName>
    <definedName name="Bud_TechSupport">Assumptions!$B$40</definedName>
    <definedName name="Bud_Equipment">Assumptions!$B$41</definedName>
    <definedName name="Bud_Licences">Assumptions!$B$42</definedName>
    <definedName name="Bud_TechCont">Assumptions!$B$43</definedName>
    <definedName name="Bud_Helios">Assumptions!$B$45</definedName>
    <definedName name="Bud_Social">Assumptions!$B$46</definedName>
    <definedName name="Bud_PR">Assumptions!$B$47</definedName>
    <definedName name="Bud_MktCont">Assumptions!$B$48</definedName>
    <definedName name="Bud_Personnel">Assumptions!$B$50</definedName>
    <definedName name="Bud_Office">Assumptions!$B$51</definedName>
    <definedName name="Bud_DOPI">Assumptions!$B$52</definedName>
    <definedName name="Board_Fee">Assumptions!$B$53</definedName>
    <definedName name="Board_Members">Assumptions!$B$54</definedName>
    <definedName name="Board_Months">Assumptions!$B$55</definedName>
    <definedName name="Bud_AdmCont">Assumptions!$B$56</definedName>
    <definedName name="Raise_AED">Assumptions!$B$58</definedName>
    <definedName name="USD_per_EUR">Assumptions!$B$60</definedName>
    <definedName name="AED_per_USD">Assumptions!$B$61</definedName>
    <definedName name="AED_per_EUR">Assumptions!$B$62</definedName>
    <definedName name="AED_per_GBP">Assumptions!$B$63</definedName>
    <definedName name="Rate_EUR">Assumptions!$B$65</definedName>
    <definedName name="Hours_FTE">Assumptions!$B$66</definedName>
    <definedName name="Basis_People">Assumptions!$B$67</definedName>
    <definedName name="Eng2_Start">Assumptions!$B$68</definedName>
    <definedName name="Desk_Hours">Assumptions!$B$79</definedName>
    <definedName name="Desk_Seats">Assumptions!$B$80</definedName>
    <definedName name="Desk_Agent_Hours">Assumptions!$B$81</definedName>
    <definedName name="Desk_Cover">Assumptions!$B$82</definedName>
    <definedName name="Desk_Agent_Cost">Assumptions!$B$83</definedName>
    <definedName name="Months_Year">Assumptions!$B$85</definedName>
    <definedName name="Budget_Total">Budget!$B$29</definedName>
    <definedName name="Net_Member_Y1">Revenue!$B$40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#,##0.00;(#,##0.00);&quot;-&quot;"/>
    <numFmt numFmtId="165" formatCode="0.0%"/>
    <numFmt numFmtId="166" formatCode="0.0000"/>
    <numFmt numFmtId="167" formatCode="0.000"/>
    <numFmt numFmtId="168" formatCode="#,##0;(#,##0);&quot;-&quot;"/>
    <numFmt numFmtId="169" formatCode="0.0%;(0.0%);&quot;-&quot;"/>
    <numFmt numFmtId="170" formatCode="#,##0.0;(#,##0.0);&quot;-&quot;"/>
    <numFmt numFmtId="171" formatCode="0.0"/>
  </numFmts>
  <fonts count="18">
    <font>
      <name val="Calibri"/>
      <family val="2"/>
      <color theme="1"/>
      <sz val="11"/>
      <scheme val="minor"/>
    </font>
    <font>
      <name val="Calibri"/>
      <b val="1"/>
      <color rgb="0013261D"/>
      <sz val="16"/>
    </font>
    <font>
      <name val="Calibri"/>
      <b val="1"/>
      <color rgb="000E8F5C"/>
      <sz val="16"/>
    </font>
    <font>
      <name val="Calibri"/>
      <color rgb="004A5E53"/>
      <sz val="10"/>
    </font>
    <font>
      <name val="Calibri"/>
      <b val="1"/>
      <color rgb="0013261D"/>
      <sz val="10"/>
    </font>
    <font>
      <name val="Calibri"/>
      <color rgb="0013261D"/>
      <sz val="11"/>
    </font>
    <font>
      <name val="Calibri"/>
      <b val="1"/>
      <color rgb="000E8F5C"/>
      <sz val="11"/>
    </font>
    <font>
      <name val="Calibri"/>
      <color rgb="000000FF"/>
      <sz val="11"/>
    </font>
    <font>
      <name val="Calibri"/>
      <b val="1"/>
      <i val="1"/>
      <color rgb="0013261D"/>
      <sz val="11"/>
    </font>
    <font>
      <name val="Calibri"/>
      <color rgb="00008000"/>
      <sz val="11"/>
    </font>
    <font>
      <name val="Calibri"/>
      <b val="1"/>
      <color rgb="0013261D"/>
      <sz val="11"/>
    </font>
    <font>
      <name val="Calibri"/>
      <b val="1"/>
      <color rgb="00B42318"/>
      <sz val="11"/>
    </font>
    <font>
      <name val="Calibri"/>
      <b val="1"/>
      <color rgb="000E8F5C"/>
      <sz val="12"/>
    </font>
    <font>
      <name val="Calibri"/>
      <i val="1"/>
      <color rgb="004A5E53"/>
      <sz val="11"/>
    </font>
    <font>
      <name val="Calibri"/>
      <b val="1"/>
      <color rgb="000E8F5C"/>
      <sz val="18"/>
    </font>
    <font>
      <name val="Calibri"/>
      <color rgb="004A5E53"/>
      <sz val="11"/>
    </font>
    <font>
      <name val="Calibri"/>
      <b val="1"/>
      <color rgb="000E8F5C"/>
      <sz val="13"/>
    </font>
    <font>
      <name val="Calibri"/>
      <b val="1"/>
      <color rgb="00008000"/>
      <sz val="11"/>
    </font>
  </fonts>
  <fills count="5">
    <fill>
      <patternFill/>
    </fill>
    <fill>
      <patternFill patternType="gray125"/>
    </fill>
    <fill>
      <patternFill patternType="solid">
        <fgColor rgb="00DCEAE0"/>
        <bgColor rgb="00DCEAE0"/>
      </patternFill>
    </fill>
    <fill>
      <patternFill patternType="solid">
        <fgColor rgb="00F2F6F2"/>
        <bgColor rgb="00F2F6F2"/>
      </patternFill>
    </fill>
    <fill>
      <patternFill patternType="solid">
        <fgColor rgb="00FFFF00"/>
        <bgColor rgb="00FFFF00"/>
      </patternFill>
    </fill>
  </fills>
  <borders count="7">
    <border>
      <left/>
      <right/>
      <top/>
      <bottom/>
      <diagonal/>
    </border>
    <border>
      <bottom style="thin">
        <color rgb="000E8F5C"/>
      </bottom>
    </border>
    <border>
      <top style="thin">
        <color rgb="00B9CCBF"/>
      </top>
    </border>
    <border>
      <left style="thin">
        <color rgb="008FA3DA"/>
      </left>
      <right style="thin">
        <color rgb="008FA3DA"/>
      </right>
      <top style="thin">
        <color rgb="008FA3DA"/>
      </top>
      <bottom style="thin">
        <color rgb="008FA3DA"/>
      </bottom>
    </border>
    <border/>
    <border>
      <top style="thin">
        <color rgb="000E8F5C"/>
      </top>
    </border>
    <border>
      <top style="thin">
        <color rgb="000E8F5C"/>
      </top>
      <bottom style="thin">
        <color rgb="000E8F5C"/>
      </bottom>
    </border>
  </borders>
  <cellStyleXfs count="1">
    <xf numFmtId="0" fontId="0" fillId="0" borderId="0"/>
  </cellStyleXfs>
  <cellXfs count="104">
    <xf numFmtId="0" fontId="0" fillId="0" borderId="0" pivotButton="0" quotePrefix="0" xfId="0"/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1" applyAlignment="1" pivotButton="0" quotePrefix="0" xfId="0">
      <alignment vertical="center"/>
    </xf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top"/>
    </xf>
    <xf numFmtId="0" fontId="4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 indent="1"/>
    </xf>
    <xf numFmtId="0" fontId="4" fillId="2" borderId="1" applyAlignment="1" pivotButton="0" quotePrefix="0" xfId="0">
      <alignment horizontal="right" vertical="center" wrapText="1"/>
    </xf>
    <xf numFmtId="0" fontId="5" fillId="0" borderId="0" applyAlignment="1" pivotButton="0" quotePrefix="0" xfId="0">
      <alignment vertical="center"/>
    </xf>
    <xf numFmtId="170" fontId="9" fillId="0" borderId="0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170" fontId="9" fillId="3" borderId="0" applyAlignment="1" pivotButton="0" quotePrefix="0" xfId="0">
      <alignment vertical="center"/>
    </xf>
    <xf numFmtId="0" fontId="10" fillId="0" borderId="5" applyAlignment="1" pivotButton="0" quotePrefix="0" xfId="0">
      <alignment vertical="center"/>
    </xf>
    <xf numFmtId="0" fontId="10" fillId="0" borderId="5" applyAlignment="1" pivotButton="0" quotePrefix="0" xfId="0">
      <alignment vertical="center" wrapText="1"/>
    </xf>
    <xf numFmtId="170" fontId="17" fillId="0" borderId="5" applyAlignment="1" pivotButton="0" quotePrefix="0" xfId="0">
      <alignment vertical="center"/>
    </xf>
    <xf numFmtId="164" fontId="9" fillId="3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0" fillId="0" borderId="2" pivotButton="0" quotePrefix="0" xfId="0"/>
    <xf numFmtId="0" fontId="5" fillId="0" borderId="0" applyAlignment="1" pivotButton="0" quotePrefix="0" xfId="0">
      <alignment vertical="center" indent="1"/>
    </xf>
    <xf numFmtId="3" fontId="7" fillId="0" borderId="3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 wrapText="1" indent="1"/>
    </xf>
    <xf numFmtId="0" fontId="5" fillId="3" borderId="0" applyAlignment="1" pivotButton="0" quotePrefix="0" xfId="0">
      <alignment vertical="center" indent="1"/>
    </xf>
    <xf numFmtId="3" fontId="7" fillId="3" borderId="3" applyAlignment="1" pivotButton="0" quotePrefix="0" xfId="0">
      <alignment horizontal="right" vertical="center"/>
    </xf>
    <xf numFmtId="0" fontId="3" fillId="3" borderId="0" applyAlignment="1" pivotButton="0" quotePrefix="0" xfId="0">
      <alignment vertical="center" indent="1"/>
    </xf>
    <xf numFmtId="0" fontId="3" fillId="3" borderId="0" applyAlignment="1" pivotButton="0" quotePrefix="0" xfId="0">
      <alignment vertical="center" wrapText="1" indent="1"/>
    </xf>
    <xf numFmtId="0" fontId="3" fillId="0" borderId="2" applyAlignment="1" pivotButton="0" quotePrefix="0" xfId="0">
      <alignment vertical="center" wrapText="1" indent="1"/>
    </xf>
    <xf numFmtId="164" fontId="7" fillId="0" borderId="3" applyAlignment="1" pivotButton="0" quotePrefix="0" xfId="0">
      <alignment horizontal="right" vertical="center"/>
    </xf>
    <xf numFmtId="164" fontId="7" fillId="3" borderId="3" applyAlignment="1" pivotButton="0" quotePrefix="0" xfId="0">
      <alignment horizontal="right" vertical="center"/>
    </xf>
    <xf numFmtId="0" fontId="0" fillId="3" borderId="0" pivotButton="0" quotePrefix="0" xfId="0"/>
    <xf numFmtId="2" fontId="7" fillId="3" borderId="3" applyAlignment="1" pivotButton="0" quotePrefix="0" xfId="0">
      <alignment horizontal="right" vertical="center"/>
    </xf>
    <xf numFmtId="165" fontId="7" fillId="0" borderId="3" applyAlignment="1" pivotButton="0" quotePrefix="0" xfId="0">
      <alignment horizontal="right" vertical="center"/>
    </xf>
    <xf numFmtId="165" fontId="7" fillId="3" borderId="3" applyAlignment="1" pivotButton="0" quotePrefix="0" xfId="0">
      <alignment horizontal="right" vertical="center"/>
    </xf>
    <xf numFmtId="165" fontId="5" fillId="3" borderId="0" applyAlignment="1" pivotButton="0" quotePrefix="0" xfId="0">
      <alignment horizontal="right" vertical="center"/>
    </xf>
    <xf numFmtId="1" fontId="7" fillId="3" borderId="3" applyAlignment="1" pivotButton="0" quotePrefix="0" xfId="0">
      <alignment horizontal="right" vertical="center"/>
    </xf>
    <xf numFmtId="1" fontId="7" fillId="0" borderId="3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166" fontId="7" fillId="0" borderId="3" applyAlignment="1" pivotButton="0" quotePrefix="0" xfId="0">
      <alignment horizontal="right" vertical="center"/>
    </xf>
    <xf numFmtId="166" fontId="7" fillId="3" borderId="3" applyAlignment="1" pivotButton="0" quotePrefix="0" xfId="0">
      <alignment horizontal="right" vertical="center"/>
    </xf>
    <xf numFmtId="167" fontId="5" fillId="0" borderId="0" applyAlignment="1" pivotButton="0" quotePrefix="0" xfId="0">
      <alignment horizontal="right" vertical="center"/>
    </xf>
    <xf numFmtId="1" fontId="7" fillId="0" borderId="4" applyAlignment="1" pivotButton="0" quotePrefix="0" xfId="0">
      <alignment horizontal="left" vertical="center" indent="1"/>
    </xf>
    <xf numFmtId="1" fontId="7" fillId="3" borderId="4" applyAlignment="1" pivotButton="0" quotePrefix="0" xfId="0">
      <alignment horizontal="left" vertical="center" indent="1"/>
    </xf>
    <xf numFmtId="1" fontId="5" fillId="0" borderId="0" applyAlignment="1" pivotButton="0" quotePrefix="0" xfId="0">
      <alignment horizontal="right" vertical="center"/>
    </xf>
    <xf numFmtId="3" fontId="7" fillId="4" borderId="3" applyAlignment="1" pivotButton="0" quotePrefix="0" xfId="0">
      <alignment horizontal="right" vertical="center"/>
    </xf>
    <xf numFmtId="0" fontId="11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3" fontId="5" fillId="0" borderId="0" applyAlignment="1" pivotButton="0" quotePrefix="0" xfId="0">
      <alignment vertical="center"/>
    </xf>
    <xf numFmtId="170" fontId="5" fillId="3" borderId="0" applyAlignment="1" pivotButton="0" quotePrefix="0" xfId="0">
      <alignment vertical="center"/>
    </xf>
    <xf numFmtId="170" fontId="5" fillId="0" borderId="0" applyAlignment="1" pivotButton="0" quotePrefix="0" xfId="0">
      <alignment vertical="center"/>
    </xf>
    <xf numFmtId="170" fontId="10" fillId="0" borderId="5" applyAlignment="1" pivotButton="0" quotePrefix="0" xfId="0">
      <alignment vertical="center"/>
    </xf>
    <xf numFmtId="0" fontId="0" fillId="0" borderId="5" pivotButton="0" quotePrefix="0" xfId="0"/>
    <xf numFmtId="164" fontId="5" fillId="0" borderId="0" applyAlignment="1" pivotButton="0" quotePrefix="0" xfId="0">
      <alignment vertical="center"/>
    </xf>
    <xf numFmtId="164" fontId="10" fillId="0" borderId="5" applyAlignment="1" pivotButton="0" quotePrefix="0" xfId="0">
      <alignment vertical="center"/>
    </xf>
    <xf numFmtId="0" fontId="3" fillId="0" borderId="5" applyAlignment="1" pivotButton="0" quotePrefix="0" xfId="0">
      <alignment vertical="center" wrapText="1" indent="1"/>
    </xf>
    <xf numFmtId="3" fontId="9" fillId="0" borderId="0" applyAlignment="1" pivotButton="0" quotePrefix="0" xfId="0">
      <alignment vertical="center"/>
    </xf>
    <xf numFmtId="164" fontId="5" fillId="3" borderId="0" applyAlignment="1" pivotButton="0" quotePrefix="0" xfId="0">
      <alignment vertical="center"/>
    </xf>
    <xf numFmtId="168" fontId="10" fillId="0" borderId="0" applyAlignment="1" pivotButton="0" quotePrefix="0" xfId="0">
      <alignment vertical="center"/>
    </xf>
    <xf numFmtId="168" fontId="5" fillId="3" borderId="0" applyAlignment="1" pivotButton="0" quotePrefix="0" xfId="0">
      <alignment vertical="center"/>
    </xf>
    <xf numFmtId="168" fontId="5" fillId="0" borderId="0" applyAlignment="1" pivotButton="0" quotePrefix="0" xfId="0">
      <alignment vertical="center"/>
    </xf>
    <xf numFmtId="0" fontId="10" fillId="3" borderId="0" applyAlignment="1" pivotButton="0" quotePrefix="0" xfId="0">
      <alignment vertical="center"/>
    </xf>
    <xf numFmtId="168" fontId="10" fillId="3" borderId="0" applyAlignment="1" pivotButton="0" quotePrefix="0" xfId="0">
      <alignment vertical="center"/>
    </xf>
    <xf numFmtId="168" fontId="10" fillId="0" borderId="5" applyAlignment="1" pivotButton="0" quotePrefix="0" xfId="0">
      <alignment vertical="center"/>
    </xf>
    <xf numFmtId="168" fontId="9" fillId="3" borderId="0" applyAlignment="1" pivotButton="0" quotePrefix="0" xfId="0">
      <alignment vertical="center"/>
    </xf>
    <xf numFmtId="164" fontId="9" fillId="0" borderId="0" applyAlignment="1" pivotButton="0" quotePrefix="0" xfId="0">
      <alignment vertical="center"/>
    </xf>
    <xf numFmtId="3" fontId="5" fillId="3" borderId="0" applyAlignment="1" pivotButton="0" quotePrefix="0" xfId="0">
      <alignment vertical="center"/>
    </xf>
    <xf numFmtId="169" fontId="9" fillId="3" borderId="0" applyAlignment="1" pivotButton="0" quotePrefix="0" xfId="0">
      <alignment vertical="center"/>
    </xf>
    <xf numFmtId="169" fontId="9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8" fontId="9" fillId="0" borderId="0" applyAlignment="1" pivotButton="0" quotePrefix="0" xfId="0">
      <alignment vertical="center"/>
    </xf>
    <xf numFmtId="169" fontId="5" fillId="0" borderId="0" applyAlignment="1" pivotButton="0" quotePrefix="0" xfId="0">
      <alignment vertical="center"/>
    </xf>
    <xf numFmtId="169" fontId="5" fillId="3" borderId="0" applyAlignment="1" pivotButton="0" quotePrefix="0" xfId="0">
      <alignment vertical="center"/>
    </xf>
    <xf numFmtId="169" fontId="10" fillId="0" borderId="5" applyAlignment="1" pivotButton="0" quotePrefix="0" xfId="0">
      <alignment vertical="center"/>
    </xf>
    <xf numFmtId="0" fontId="10" fillId="2" borderId="6" applyAlignment="1" pivotButton="0" quotePrefix="0" xfId="0">
      <alignment vertical="center"/>
    </xf>
    <xf numFmtId="168" fontId="10" fillId="2" borderId="6" applyAlignment="1" pivotButton="0" quotePrefix="0" xfId="0">
      <alignment vertical="center"/>
    </xf>
    <xf numFmtId="169" fontId="10" fillId="2" borderId="6" applyAlignment="1" pivotButton="0" quotePrefix="0" xfId="0">
      <alignment vertical="center"/>
    </xf>
    <xf numFmtId="0" fontId="3" fillId="2" borderId="6" applyAlignment="1" pivotButton="0" quotePrefix="0" xfId="0">
      <alignment vertical="center" wrapText="1" indent="1"/>
    </xf>
    <xf numFmtId="166" fontId="9" fillId="0" borderId="0" applyAlignment="1" pivotButton="0" quotePrefix="0" xfId="0">
      <alignment vertical="center"/>
    </xf>
    <xf numFmtId="166" fontId="9" fillId="3" borderId="0" applyAlignment="1" pivotButton="0" quotePrefix="0" xfId="0">
      <alignment vertical="center"/>
    </xf>
    <xf numFmtId="167" fontId="9" fillId="0" borderId="0" applyAlignment="1" pivotButton="0" quotePrefix="0" xfId="0">
      <alignment vertical="center"/>
    </xf>
    <xf numFmtId="2" fontId="9" fillId="3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3" fontId="9" fillId="3" borderId="0" applyAlignment="1" pivotButton="0" quotePrefix="0" xfId="0">
      <alignment vertical="center"/>
    </xf>
    <xf numFmtId="1" fontId="9" fillId="0" borderId="0" applyAlignment="1" pivotButton="0" quotePrefix="0" xfId="0">
      <alignment horizontal="right" vertical="center"/>
    </xf>
    <xf numFmtId="2" fontId="5" fillId="0" borderId="0" applyAlignment="1" pivotButton="0" quotePrefix="0" xfId="0">
      <alignment vertical="center"/>
    </xf>
    <xf numFmtId="1" fontId="9" fillId="0" borderId="0" applyAlignment="1" pivotButton="0" quotePrefix="0" xfId="0">
      <alignment vertical="center"/>
    </xf>
    <xf numFmtId="1" fontId="9" fillId="3" borderId="0" applyAlignment="1" pivotButton="0" quotePrefix="0" xfId="0">
      <alignment horizontal="right" vertical="center"/>
    </xf>
    <xf numFmtId="2" fontId="5" fillId="3" borderId="0" applyAlignment="1" pivotButton="0" quotePrefix="0" xfId="0">
      <alignment vertical="center"/>
    </xf>
    <xf numFmtId="1" fontId="9" fillId="3" borderId="0" applyAlignment="1" pivotButton="0" quotePrefix="0" xfId="0">
      <alignment vertical="center"/>
    </xf>
    <xf numFmtId="2" fontId="10" fillId="0" borderId="5" applyAlignment="1" pivotButton="0" quotePrefix="0" xfId="0">
      <alignment vertical="center"/>
    </xf>
    <xf numFmtId="2" fontId="10" fillId="0" borderId="0" applyAlignment="1" pivotButton="0" quotePrefix="0" xfId="0">
      <alignment vertical="center"/>
    </xf>
    <xf numFmtId="3" fontId="9" fillId="4" borderId="0" applyAlignment="1" pivotButton="0" quotePrefix="0" xfId="0">
      <alignment vertical="center"/>
    </xf>
    <xf numFmtId="3" fontId="10" fillId="0" borderId="0" applyAlignment="1" pivotButton="0" quotePrefix="0" xfId="0">
      <alignment vertical="center"/>
    </xf>
    <xf numFmtId="171" fontId="10" fillId="3" borderId="0" applyAlignment="1" pivotButton="0" quotePrefix="0" xfId="0">
      <alignment vertical="center"/>
    </xf>
    <xf numFmtId="171" fontId="5" fillId="0" borderId="0" applyAlignment="1" pivotButton="0" quotePrefix="0" xfId="0">
      <alignment vertical="center"/>
    </xf>
    <xf numFmtId="171" fontId="5" fillId="3" borderId="0" applyAlignment="1" pivotButton="0" quotePrefix="0" xfId="0">
      <alignment vertical="center"/>
    </xf>
    <xf numFmtId="1" fontId="5" fillId="0" borderId="0" applyAlignment="1" pivotButton="0" quotePrefix="0" xfId="0">
      <alignment horizontal="left" vertical="center"/>
    </xf>
    <xf numFmtId="1" fontId="5" fillId="3" borderId="0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b val="1"/>
        <color rgb="00B42318"/>
      </font>
    </dxf>
    <dxf>
      <fill>
        <patternFill patternType="solid">
          <fgColor rgb="00FBEFD2"/>
          <bgColor rgb="00FBEFD2"/>
        </patternFill>
      </fill>
    </dxf>
    <dxf>
      <font>
        <color rgb="0098A79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E8F5C"/>
    <outlinePr summaryBelow="1" summaryRight="1"/>
    <pageSetUpPr fitToPage="1"/>
  </sheetPr>
  <dimension ref="A1:D4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58" customWidth="1" min="3" max="3"/>
    <col width="18" customWidth="1" min="4" max="4"/>
  </cols>
  <sheetData>
    <row r="1" ht="28" customHeight="1">
      <c r="A1" s="1" t="inlineStr">
        <is>
          <t>ELA year-one financial model</t>
        </is>
      </c>
    </row>
    <row r="2">
      <c r="A2" s="2" t="inlineStr">
        <is>
          <t>Draft for discussion, 2 October 2026. At its default inputs it reproduces the business-plan draft of 1 October 2026.</t>
        </is>
      </c>
    </row>
    <row r="3"/>
    <row r="4"/>
    <row r="5" ht="20" customHeight="1">
      <c r="A5" s="3" t="inlineStr">
        <is>
          <t>What it is</t>
        </is>
      </c>
      <c r="B5" s="4" t="n"/>
      <c r="C5" s="4" t="n"/>
      <c r="D5" s="4" t="n"/>
    </row>
    <row r="6" ht="33" customHeight="1">
      <c r="B6" s="5" t="inlineStr">
        <is>
          <t>A live model of ELA's first year: revenue in three cases, the year-one budget, the raise and runway, and how the tech support and call centre lines map to people. These are our own assumptions, not a forecast.</t>
        </is>
      </c>
    </row>
    <row r="7" ht="33" customHeight="1">
      <c r="B7" s="5" t="inlineStr">
        <is>
          <t>At its default inputs it reproduces the plan: base-case revenue of AED 210.0M against year-one costs of AED 4.62M, a result before tax of AED 205.38M, and about 18 months of runway on the AED 7M raise.</t>
        </is>
      </c>
    </row>
    <row r="8"/>
    <row r="9" ht="20" customHeight="1">
      <c r="A9" s="3" t="inlineStr">
        <is>
          <t>How to use it</t>
        </is>
      </c>
      <c r="B9" s="4" t="n"/>
      <c r="C9" s="4" t="n"/>
      <c r="D9" s="4" t="n"/>
    </row>
    <row r="10" ht="18" customHeight="1">
      <c r="B10" s="5" t="inlineStr">
        <is>
          <t>Change any blue cell on the Assumptions sheet. Every other number is a formula and updates on its own.</t>
        </is>
      </c>
    </row>
    <row r="11" ht="33" customHeight="1">
      <c r="B11" s="5" t="inlineStr">
        <is>
          <t>Blue text is an input, black text a formula, and green text a link from another sheet. A yellow fill marks a placeholder that needs a real figure. To get back to the plan's numbers, download a fresh copy.</t>
        </is>
      </c>
    </row>
    <row r="12"/>
    <row r="13" ht="20" customHeight="1">
      <c r="A13" s="3" t="inlineStr">
        <is>
          <t>Sheets</t>
        </is>
      </c>
      <c r="B13" s="4" t="n"/>
      <c r="C13" s="4" t="n"/>
      <c r="D13" s="4" t="n"/>
    </row>
    <row r="14" ht="18" customHeight="1">
      <c r="B14" s="6" t="inlineStr">
        <is>
          <t>Assumptions</t>
        </is>
      </c>
      <c r="C14" s="7" t="inlineStr">
        <is>
          <t>Every input, grouped, with its source or a note.</t>
        </is>
      </c>
    </row>
    <row r="15" ht="18" customHeight="1">
      <c r="B15" s="6" t="inlineStr">
        <is>
          <t>Revenue</t>
        </is>
      </c>
      <c r="C15" s="7" t="inlineStr">
        <is>
          <t>The three cases line by line, and what a member is worth after VAT and Apple.</t>
        </is>
      </c>
    </row>
    <row r="16" ht="18" customHeight="1">
      <c r="B16" s="6" t="inlineStr">
        <is>
          <t>Budget</t>
        </is>
      </c>
      <c r="C16" s="7" t="inlineStr">
        <is>
          <t>The year-one budget from Jon's July 2026 plan, by line.</t>
        </is>
      </c>
    </row>
    <row r="17" ht="33" customHeight="1">
      <c r="B17" s="6" t="inlineStr">
        <is>
          <t>Delivery team</t>
        </is>
      </c>
      <c r="C17" s="7" t="inlineStr">
        <is>
          <t>How the AED 600,000 Outsourced tech support line maps to people, and a sizing aid for the 24/7 operations desk.</t>
        </is>
      </c>
    </row>
    <row r="18" ht="18" customHeight="1">
      <c r="B18" s="6" t="inlineStr">
        <is>
          <t>Runway</t>
        </is>
      </c>
      <c r="C18" s="7" t="inlineStr">
        <is>
          <t>The raise, its use, and the runway at the year-one burn, month by month.</t>
        </is>
      </c>
    </row>
    <row r="19"/>
    <row r="20" ht="20" customHeight="1">
      <c r="A20" s="3" t="inlineStr">
        <is>
          <t>Notes</t>
        </is>
      </c>
      <c r="B20" s="4" t="n"/>
      <c r="C20" s="4" t="n"/>
      <c r="D20" s="4" t="n"/>
    </row>
    <row r="21" ht="48" customHeight="1">
      <c r="A21" s="8" t="inlineStr">
        <is>
          <t>Rounding</t>
        </is>
      </c>
      <c r="B21" s="5" t="inlineStr">
        <is>
          <t>Net value per member is rounded to the whole dirham, as the plan does: 749.99 ÷ 1.05 × 70% = 499.99, used as AED 500, so membership is exactly members × 500. Set the rounding switch on the Assumptions sheet to 0 to use 499.99 instead: base membership becomes AED 149,998,000, which still shows as 150.0M.</t>
        </is>
      </c>
    </row>
    <row r="22" ht="18" customHeight="1">
      <c r="A22" s="8" t="inlineStr">
        <is>
          <t>No ramp</t>
        </is>
      </c>
      <c r="B22" s="5" t="inlineStr">
        <is>
          <t>Every case counts each member for the whole of year one. Members will join through the year, so real year-one revenue will be lower.</t>
        </is>
      </c>
    </row>
    <row r="23" ht="18" customHeight="1">
      <c r="A23" s="8" t="inlineStr">
        <is>
          <t>Legal referral</t>
        </is>
      </c>
      <c r="B23" s="5" t="inlineStr">
        <is>
          <t>The fee structure is subject to legal advice. Set its switch on the Assumptions sheet to 0 to see the cases without it.</t>
        </is>
      </c>
    </row>
    <row r="24" ht="33" customHeight="1">
      <c r="A24" s="8" t="inlineStr">
        <is>
          <t>Runway</t>
        </is>
      </c>
      <c r="B24" s="5" t="inlineStr">
        <is>
          <t>"About 18 months of runway" is the whole raise spent at the year-one burn, ignoring revenue: the budget pays for months 1 to 12 and the contingency for months 13 to 18.</t>
        </is>
      </c>
    </row>
    <row r="25" ht="18" customHeight="1">
      <c r="A25" s="8" t="inlineStr">
        <is>
          <t>VAT</t>
        </is>
      </c>
      <c r="B25" s="5" t="inlineStr">
        <is>
          <t>Revenue figures exclude VAT. App Store prices include 5% UAE VAT, which is taken off before Apple's commission.</t>
        </is>
      </c>
    </row>
    <row r="26" ht="18" customHeight="1">
      <c r="A26" s="8" t="inlineStr">
        <is>
          <t>Weekly plan</t>
        </is>
      </c>
      <c r="B26" s="5" t="inlineStr">
        <is>
          <t>A weekly member is billed 365.25 ÷ 7 = 52.18 weeks a year, as in the plan's price table (AED 1,304 gross, worth 869 in year one).</t>
        </is>
      </c>
    </row>
    <row r="27"/>
    <row r="28" ht="20" customHeight="1">
      <c r="A28" s="3" t="inlineStr">
        <is>
          <t>Sources</t>
        </is>
      </c>
      <c r="B28" s="4" t="n"/>
      <c r="C28" s="4" t="n"/>
      <c r="D28" s="4" t="n"/>
    </row>
    <row r="29" ht="33" customHeight="1">
      <c r="A29" s="8" t="inlineStr">
        <is>
          <t>Business plan</t>
        </is>
      </c>
      <c r="B29" s="5" t="inlineStr">
        <is>
          <t>Jon's business plan v3, 31 July 2026: the member cases, take-up, claims model, referral rate, the year-one budget and the AED 7M raise.</t>
        </is>
      </c>
    </row>
    <row r="30" ht="18" customHeight="1">
      <c r="A30" s="8" t="inlineStr">
        <is>
          <t>Investor summary</t>
        </is>
      </c>
      <c r="B30" s="5" t="inlineStr">
        <is>
          <t>Jon's investor summary and teaser, 9 September 2026: the insurance commission of 10% of the premium, and the figures reconciled below.</t>
        </is>
      </c>
    </row>
    <row r="31" ht="18" customHeight="1">
      <c r="A31" s="8" t="inlineStr">
        <is>
          <t>App Store prices</t>
        </is>
      </c>
      <c r="B31" s="5" t="inlineStr">
        <is>
          <t>App Store prices from 22 August 2026: AED 24.99 a week, 79.99 a month or 749.99 a year, VAT included.</t>
        </is>
      </c>
    </row>
    <row r="32" ht="18" customHeight="1">
      <c r="A32" s="8" t="inlineStr">
        <is>
          <t>Insurance premium</t>
        </is>
      </c>
      <c r="B32" s="5" t="inlineStr">
        <is>
          <t>The insurance premium set 12-14 August 2026: AED 3,000 per adult a year.</t>
        </is>
      </c>
    </row>
    <row r="33" ht="33" customHeight="1">
      <c r="A33" s="8" t="inlineStr">
        <is>
          <t>Apple's commission</t>
        </is>
      </c>
      <c r="B33" s="5" t="inlineStr">
        <is>
          <t>developer.apple.com, checked 1 October 2026: 30% until a subscriber has a year of paid service, then 15%. The Small Business Program charges 15% only while proceeds stay under USD 1M a year, about 6,000 annual members.</t>
        </is>
      </c>
    </row>
    <row r="34" ht="33" customHeight="1">
      <c r="A34" s="8" t="inlineStr">
        <is>
          <t>Exchange rates</t>
        </is>
      </c>
      <c r="B34" s="5" t="inlineStr">
        <is>
          <t>ECB euro reference rates, 1 October 2026: EUR 1 = USD 1.1298. Through the AED peg of 3.6725, EUR 1 = AED 4.149. GBP 1 = AED 4.86, for reference.</t>
        </is>
      </c>
    </row>
    <row r="35" ht="18" customHeight="1">
      <c r="A35" s="8" t="inlineStr">
        <is>
          <t>Delivery team</t>
        </is>
      </c>
      <c r="B35" s="5" t="inlineStr">
        <is>
          <t>Stevan Litobac, COO, 1 October 2026: the board fees and the basis for the tech support line (quoted on the Delivery team sheet).</t>
        </is>
      </c>
    </row>
    <row r="36"/>
    <row r="37" ht="20" customHeight="1">
      <c r="A37" s="3" t="inlineStr">
        <is>
          <t>Reconciliation with Jon's 9 September numbers (base case)</t>
        </is>
      </c>
      <c r="B37" s="4" t="n"/>
      <c r="C37" s="4" t="n"/>
      <c r="D37" s="4" t="n"/>
    </row>
    <row r="38" ht="29" customHeight="1">
      <c r="A38" s="9" t="inlineStr"/>
      <c r="B38" s="10" t="inlineStr">
        <is>
          <t>Jon, 9 Sep</t>
        </is>
      </c>
      <c r="C38" s="10" t="inlineStr">
        <is>
          <t>This model (default inputs)</t>
        </is>
      </c>
      <c r="D38" s="11" t="inlineStr">
        <is>
          <t>This model now (AED M)</t>
        </is>
      </c>
    </row>
    <row r="39" ht="18" customHeight="1">
      <c r="A39" s="12" t="inlineStr">
        <is>
          <t>Subscriptions</t>
        </is>
      </c>
      <c r="B39" s="7" t="inlineStr">
        <is>
          <t>300,000 × AED 750 gross = 225M</t>
        </is>
      </c>
      <c r="C39" s="7" t="inlineStr">
        <is>
          <t>300,000 × AED 500 net of VAT and Apple = 150M</t>
        </is>
      </c>
      <c r="D39" s="13">
        <f>Revenue!C7</f>
        <v>150</v>
      </c>
    </row>
    <row r="40" ht="18" customHeight="1">
      <c r="A40" s="14" t="inlineStr">
        <is>
          <t>Insurance</t>
        </is>
      </c>
      <c r="B40" s="15" t="inlineStr">
        <is>
          <t>150,000 insured × AED 2,000 premium × 10% = 30M</t>
        </is>
      </c>
      <c r="C40" s="15" t="inlineStr">
        <is>
          <t>Premium AED 3,000 (set mid-August), so 45M</t>
        </is>
      </c>
      <c r="D40" s="16">
        <f>Revenue!C8</f>
        <v>45</v>
      </c>
    </row>
    <row r="41" ht="33" customHeight="1">
      <c r="A41" s="12" t="inlineStr">
        <is>
          <t>Legal referral</t>
        </is>
      </c>
      <c r="B41" s="7" t="inlineStr">
        <is>
          <t>10.5M (from the July plan's litigation rows, which mirror the insurance rows and look like a slip)</t>
        </is>
      </c>
      <c r="C41" s="7" t="inlineStr">
        <is>
          <t>Jon's own claims model, 1% × AED 100,000 × 10% on insured members, so 15M</t>
        </is>
      </c>
      <c r="D41" s="13">
        <f>Revenue!C9</f>
        <v>15</v>
      </c>
    </row>
    <row r="42" ht="18" customHeight="1">
      <c r="A42" s="17" t="inlineStr">
        <is>
          <t>Gross revenue</t>
        </is>
      </c>
      <c r="B42" s="18" t="inlineStr">
        <is>
          <t>265.5M</t>
        </is>
      </c>
      <c r="C42" s="18" t="inlineStr">
        <is>
          <t>210M</t>
        </is>
      </c>
      <c r="D42" s="19">
        <f>Revenue!C10</f>
        <v>210</v>
      </c>
    </row>
    <row r="43" ht="18" customHeight="1">
      <c r="A43" s="14" t="inlineStr">
        <is>
          <t>Costs</t>
        </is>
      </c>
      <c r="B43" s="15" t="inlineStr">
        <is>
          <t>4.62M</t>
        </is>
      </c>
      <c r="C43" s="15" t="inlineStr">
        <is>
          <t>4.62M (unchanged)</t>
        </is>
      </c>
      <c r="D43" s="20">
        <f>Revenue!C11</f>
        <v>4.62</v>
      </c>
    </row>
    <row r="44">
      <c r="A44" s="21" t="inlineStr">
        <is>
          <t>The last column is live: it moves when you change the inputs. The two text columns describe the default inputs.</t>
        </is>
      </c>
    </row>
  </sheetData>
  <mergeCells count="22">
    <mergeCell ref="B11:D11"/>
    <mergeCell ref="C15:D15"/>
    <mergeCell ref="B23:D23"/>
    <mergeCell ref="C14:D14"/>
    <mergeCell ref="B29:D29"/>
    <mergeCell ref="B34:D34"/>
    <mergeCell ref="B10:D10"/>
    <mergeCell ref="C16:D16"/>
    <mergeCell ref="B30:D30"/>
    <mergeCell ref="B6:D6"/>
    <mergeCell ref="B24:D24"/>
    <mergeCell ref="B33:D33"/>
    <mergeCell ref="B32:D32"/>
    <mergeCell ref="B35:D35"/>
    <mergeCell ref="B26:D26"/>
    <mergeCell ref="B7:D7"/>
    <mergeCell ref="B25:D25"/>
    <mergeCell ref="C17:D17"/>
    <mergeCell ref="B31:D31"/>
    <mergeCell ref="B22:D22"/>
    <mergeCell ref="B21:D21"/>
    <mergeCell ref="C18:D18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D8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4" customWidth="1" min="1" max="1"/>
    <col width="14" customWidth="1" min="2" max="2"/>
    <col width="22" customWidth="1" min="3" max="3"/>
    <col width="96" customWidth="1" min="4" max="4"/>
  </cols>
  <sheetData>
    <row r="1" ht="24" customHeight="1">
      <c r="A1" s="22" t="inlineStr">
        <is>
          <t>Assumptions</t>
        </is>
      </c>
    </row>
    <row r="2">
      <c r="A2" s="21" t="inlineStr">
        <is>
          <t>Every input in the model, grouped, with its source. Change a blue cell and every other sheet updates.</t>
        </is>
      </c>
    </row>
    <row r="3">
      <c r="A3" s="21" t="inlineStr">
        <is>
          <t>Blue text: input. Black text: formula. Green text: link from another sheet. Yellow fill: placeholder that needs a real figure.</t>
        </is>
      </c>
    </row>
    <row r="4"/>
    <row r="5" ht="16" customHeight="1">
      <c r="A5" s="9" t="inlineStr">
        <is>
          <t>Input</t>
        </is>
      </c>
      <c r="B5" s="11" t="inlineStr">
        <is>
          <t>Value</t>
        </is>
      </c>
      <c r="C5" s="10" t="inlineStr">
        <is>
          <t>Unit</t>
        </is>
      </c>
      <c r="D5" s="10" t="inlineStr">
        <is>
          <t>Source or note</t>
        </is>
      </c>
    </row>
    <row r="6" ht="20" customHeight="1">
      <c r="A6" s="23" t="inlineStr">
        <is>
          <t>Members in year one (three cases)</t>
        </is>
      </c>
      <c r="B6" s="24" t="n"/>
      <c r="C6" s="24" t="n"/>
      <c r="D6" s="24" t="n"/>
    </row>
    <row r="7" ht="16" customHeight="1">
      <c r="A7" s="25" t="inlineStr">
        <is>
          <t>Members, low case</t>
        </is>
      </c>
      <c r="B7" s="26" t="n">
        <v>100000</v>
      </c>
      <c r="C7" s="27" t="inlineStr">
        <is>
          <t>members</t>
        </is>
      </c>
      <c r="D7" s="28" t="inlineStr">
        <is>
          <t>Jon's business plan v3, 31 July 2026.</t>
        </is>
      </c>
    </row>
    <row r="8" ht="16" customHeight="1">
      <c r="A8" s="29" t="inlineStr">
        <is>
          <t>Members, base case</t>
        </is>
      </c>
      <c r="B8" s="30" t="n">
        <v>300000</v>
      </c>
      <c r="C8" s="31" t="inlineStr">
        <is>
          <t>members</t>
        </is>
      </c>
      <c r="D8" s="32" t="inlineStr">
        <is>
          <t>Jon's business plan v3, 31 July 2026. Also the base case in Jon's 9 September investor summary.</t>
        </is>
      </c>
    </row>
    <row r="9" ht="16" customHeight="1">
      <c r="A9" s="25" t="inlineStr">
        <is>
          <t>Members, high case</t>
        </is>
      </c>
      <c r="B9" s="26" t="n">
        <v>500000</v>
      </c>
      <c r="C9" s="27" t="inlineStr">
        <is>
          <t>members</t>
        </is>
      </c>
      <c r="D9" s="28" t="inlineStr">
        <is>
          <t>Jon's business plan v3, 31 July 2026. Every case counts each member for the whole of year one, with no ramp.</t>
        </is>
      </c>
    </row>
    <row r="10" ht="20" customHeight="1">
      <c r="A10" s="23" t="inlineStr">
        <is>
          <t>Membership prices (App Store, VAT included)</t>
        </is>
      </c>
      <c r="B10" s="24" t="n"/>
      <c r="C10" s="24" t="n"/>
      <c r="D10" s="33" t="inlineStr">
        <is>
          <t>App Store prices from 22 August 2026.</t>
        </is>
      </c>
    </row>
    <row r="11">
      <c r="A11" s="25" t="inlineStr">
        <is>
          <t>Weekly plan</t>
        </is>
      </c>
      <c r="B11" s="34" t="n">
        <v>24.99</v>
      </c>
      <c r="C11" s="27" t="inlineStr">
        <is>
          <t>AED a week</t>
        </is>
      </c>
    </row>
    <row r="12">
      <c r="A12" s="29" t="inlineStr">
        <is>
          <t>Monthly plan</t>
        </is>
      </c>
      <c r="B12" s="35" t="n">
        <v>79.98999999999999</v>
      </c>
      <c r="C12" s="31" t="inlineStr">
        <is>
          <t>AED a month</t>
        </is>
      </c>
      <c r="D12" s="36" t="n"/>
    </row>
    <row r="13">
      <c r="A13" s="25" t="inlineStr">
        <is>
          <t>Annual plan</t>
        </is>
      </c>
      <c r="B13" s="34" t="n">
        <v>749.99</v>
      </c>
      <c r="C13" s="27" t="inlineStr">
        <is>
          <t>AED a year</t>
        </is>
      </c>
    </row>
    <row r="14" ht="29" customHeight="1">
      <c r="A14" s="29" t="inlineStr">
        <is>
          <t>Weeks billed in a year</t>
        </is>
      </c>
      <c r="B14" s="37" t="n">
        <v>52.17857142857143</v>
      </c>
      <c r="C14" s="31" t="inlineStr">
        <is>
          <t>weeks</t>
        </is>
      </c>
      <c r="D14" s="32" t="inlineStr">
        <is>
          <t>365.25 days ÷ 7, as in the plan's price table: AED 1,304 a year on the weekly plan, worth 869 (Apple 30%) and 1,056 (Apple 15%). Exactly 52 weeks gives 866 and 1,052.</t>
        </is>
      </c>
    </row>
    <row r="15" ht="20" customHeight="1">
      <c r="A15" s="23" t="inlineStr">
        <is>
          <t>Plan mix (share of App Store members on each plan)</t>
        </is>
      </c>
      <c r="B15" s="24" t="n"/>
      <c r="C15" s="24" t="n"/>
      <c r="D15" s="33" t="inlineStr">
        <is>
          <t>Default: every member on the annual plan, as in the business plan. The three shares must add to 100%.</t>
        </is>
      </c>
    </row>
    <row r="16">
      <c r="A16" s="25" t="inlineStr">
        <is>
          <t>Weekly plan</t>
        </is>
      </c>
      <c r="B16" s="38" t="n">
        <v>0</v>
      </c>
      <c r="C16" s="27" t="inlineStr">
        <is>
          <t>of App Store members</t>
        </is>
      </c>
    </row>
    <row r="17">
      <c r="A17" s="29" t="inlineStr">
        <is>
          <t>Monthly plan</t>
        </is>
      </c>
      <c r="B17" s="39" t="n">
        <v>0</v>
      </c>
      <c r="C17" s="31" t="inlineStr">
        <is>
          <t>of App Store members</t>
        </is>
      </c>
      <c r="D17" s="36" t="n"/>
    </row>
    <row r="18">
      <c r="A18" s="25" t="inlineStr">
        <is>
          <t>Annual plan</t>
        </is>
      </c>
      <c r="B18" s="38" t="n">
        <v>1</v>
      </c>
      <c r="C18" s="27" t="inlineStr">
        <is>
          <t>of App Store members</t>
        </is>
      </c>
    </row>
    <row r="19">
      <c r="A19" s="29" t="inlineStr">
        <is>
          <t>Total of the three shares</t>
        </is>
      </c>
      <c r="B19" s="40">
        <f>SUM(B16:B18)</f>
        <v>1</v>
      </c>
      <c r="C19" s="31" t="inlineStr">
        <is>
          <t>must be 100%</t>
        </is>
      </c>
      <c r="D19" s="31" t="str">
        <f>IF(ROUND(B19,6)=1,"OK: the mix adds to 100%.","Check: the mix must add to 100%.")</f>
        <v>OK: the mix adds to 100%.</v>
      </c>
    </row>
    <row r="20" ht="20" customHeight="1">
      <c r="A20" s="23" t="inlineStr">
        <is>
          <t>VAT and Apple's commission</t>
        </is>
      </c>
      <c r="B20" s="24" t="n"/>
      <c r="C20" s="24" t="n"/>
      <c r="D20" s="24" t="n"/>
    </row>
    <row r="21" ht="16" customHeight="1">
      <c r="A21" s="25" t="inlineStr">
        <is>
          <t>UAE VAT included in App Store prices</t>
        </is>
      </c>
      <c r="B21" s="38" t="n">
        <v>0.05</v>
      </c>
      <c r="C21" s="27" t="inlineStr">
        <is>
          <t>rate</t>
        </is>
      </c>
      <c r="D21" s="28" t="inlineStr">
        <is>
          <t>Revenue is counted net of VAT: price ÷ (1 + VAT rate). All revenue figures exclude VAT.</t>
        </is>
      </c>
    </row>
    <row r="22" ht="42" customHeight="1">
      <c r="A22" s="29" t="inlineStr">
        <is>
          <t>Apple's commission, a member's first year</t>
        </is>
      </c>
      <c r="B22" s="39" t="n">
        <v>0.3</v>
      </c>
      <c r="C22" s="31" t="inlineStr">
        <is>
          <t>of the price ex VAT</t>
        </is>
      </c>
      <c r="D22" s="32" t="inlineStr">
        <is>
          <t>developer.apple.com, checked 1 October 2026: Apple keeps 30% until a subscriber has a year of paid service, then 15%. Its Small Business Program charges 15% only while proceeds stay under USD 1M a year (about 6,000 annual members), so at the plan's volumes year one pays 30%.</t>
        </is>
      </c>
    </row>
    <row r="23" ht="29" customHeight="1">
      <c r="A23" s="25" t="inlineStr">
        <is>
          <t>Apple's commission, from a member's second year</t>
        </is>
      </c>
      <c r="B23" s="38" t="n">
        <v>0.15</v>
      </c>
      <c r="C23" s="27" t="inlineStr">
        <is>
          <t>of the price ex VAT</t>
        </is>
      </c>
      <c r="D23" s="28" t="inlineStr">
        <is>
          <t>Reference only: year-one revenue uses the first-year rate. The Revenue sheet shows what a member is worth from their second year.</t>
        </is>
      </c>
    </row>
    <row r="24" ht="16" customHeight="1">
      <c r="A24" s="29" t="inlineStr">
        <is>
          <t>Members on company seats sold by contract</t>
        </is>
      </c>
      <c r="B24" s="39" t="n">
        <v>0</v>
      </c>
      <c r="C24" s="31" t="inlineStr">
        <is>
          <t>of all members</t>
        </is>
      </c>
      <c r="D24" s="32" t="inlineStr">
        <is>
          <t>Company seats sold by contract skip Apple. Default 0%: every member joins through the App Store.</t>
        </is>
      </c>
    </row>
    <row r="25" ht="16" customHeight="1">
      <c r="A25" s="25" t="inlineStr">
        <is>
          <t>Company seat price</t>
        </is>
      </c>
      <c r="B25" s="34" t="n">
        <v>749.99</v>
      </c>
      <c r="C25" s="27" t="inlineStr">
        <is>
          <t>AED a year, VAT incl.</t>
        </is>
      </c>
      <c r="D25" s="28" t="inlineStr">
        <is>
          <t>Assumed equal to the annual App Store price. Change it if company seats are priced differently.</t>
        </is>
      </c>
    </row>
    <row r="26" ht="29" customHeight="1">
      <c r="A26" s="29" t="inlineStr">
        <is>
          <t>Round net value per member to whole AED</t>
        </is>
      </c>
      <c r="B26" s="41" t="n">
        <v>1</v>
      </c>
      <c r="C26" s="31" t="inlineStr">
        <is>
          <t>1 = yes, 0 = no</t>
        </is>
      </c>
      <c r="D26" s="32" t="inlineStr">
        <is>
          <t>Set to 1 (the plan): 749.99 ÷ 1.05 × 70% = 499.99, used as AED 500, so membership is exactly members × 500. Set to 0 for the unrounded 499.99: base membership is then AED 149,998,000, which still shows as 150.0M.</t>
        </is>
      </c>
    </row>
    <row r="27" ht="20" customHeight="1">
      <c r="A27" s="23" t="inlineStr">
        <is>
          <t>Insurance add-on</t>
        </is>
      </c>
      <c r="B27" s="24" t="n"/>
      <c r="C27" s="24" t="n"/>
      <c r="D27" s="24" t="n"/>
    </row>
    <row r="28" ht="16" customHeight="1">
      <c r="A28" s="25" t="inlineStr">
        <is>
          <t>Members who take the insurance add-on</t>
        </is>
      </c>
      <c r="B28" s="38" t="n">
        <v>0.5</v>
      </c>
      <c r="C28" s="27" t="inlineStr">
        <is>
          <t>of members</t>
        </is>
      </c>
      <c r="D28" s="28" t="inlineStr">
        <is>
          <t>Jon's business plan v3, 31 July 2026.</t>
        </is>
      </c>
    </row>
    <row r="29" ht="16" customHeight="1">
      <c r="A29" s="29" t="inlineStr">
        <is>
          <t>Premium per insured adult</t>
        </is>
      </c>
      <c r="B29" s="30" t="n">
        <v>3000</v>
      </c>
      <c r="C29" s="31" t="inlineStr">
        <is>
          <t>AED a year</t>
        </is>
      </c>
      <c r="D29" s="32" t="inlineStr">
        <is>
          <t>Insurance premium set 12-14 August 2026. Jon's 9 September summary used AED 2,000.</t>
        </is>
      </c>
    </row>
    <row r="30" ht="29" customHeight="1">
      <c r="A30" s="25" t="inlineStr">
        <is>
          <t>ELA's share of the premium</t>
        </is>
      </c>
      <c r="B30" s="38" t="n">
        <v>0.1</v>
      </c>
      <c r="C30" s="27" t="inlineStr">
        <is>
          <t>of premiums</t>
        </is>
      </c>
      <c r="D30" s="28" t="inlineStr">
        <is>
          <t>Jon's 9 September teaser: 10% of the premium from members who take the add-on. To be confirmed with the insurer.</t>
        </is>
      </c>
    </row>
    <row r="31" ht="20" customHeight="1">
      <c r="A31" s="23" t="inlineStr">
        <is>
          <t>Legal referral commission</t>
        </is>
      </c>
      <c r="B31" s="24" t="n"/>
      <c r="C31" s="24" t="n"/>
      <c r="D31" s="24" t="n"/>
    </row>
    <row r="32" ht="29" customHeight="1">
      <c r="A32" s="25" t="inlineStr">
        <is>
          <t>Include legal referral revenue</t>
        </is>
      </c>
      <c r="B32" s="42" t="n">
        <v>1</v>
      </c>
      <c r="C32" s="27" t="inlineStr">
        <is>
          <t>1 = include, 0 = exclude</t>
        </is>
      </c>
      <c r="D32" s="28" t="inlineStr">
        <is>
          <t>The fee structure is subject to legal advice: UAE law on the legal profession (Federal Decree-Law 34 of 2022) restricts commissions for bringing clients to lawyers. Set to 0 to see the cases without it.</t>
        </is>
      </c>
    </row>
    <row r="33" ht="16" customHeight="1">
      <c r="A33" s="29" t="inlineStr">
        <is>
          <t>Insured members who claim in a year</t>
        </is>
      </c>
      <c r="B33" s="39" t="n">
        <v>0.01</v>
      </c>
      <c r="C33" s="31" t="inlineStr">
        <is>
          <t>of insured members</t>
        </is>
      </c>
      <c r="D33" s="32" t="inlineStr">
        <is>
          <t>Jon's claims model in the July 2026 plan, which takes 0.5% to 1.5% of policyholders claiming each year.</t>
        </is>
      </c>
    </row>
    <row r="34" ht="16" customHeight="1">
      <c r="A34" s="25" t="inlineStr">
        <is>
          <t>Legal fees per claim</t>
        </is>
      </c>
      <c r="B34" s="26" t="n">
        <v>100000</v>
      </c>
      <c r="C34" s="27" t="inlineStr">
        <is>
          <t>AED</t>
        </is>
      </c>
      <c r="D34" s="28" t="inlineStr">
        <is>
          <t>The cover's legal-fee limit; each claim is assumed to use it in full.</t>
        </is>
      </c>
    </row>
    <row r="35" ht="16" customHeight="1">
      <c r="A35" s="29" t="inlineStr">
        <is>
          <t>ELA's referral commission on legal fees</t>
        </is>
      </c>
      <c r="B35" s="39" t="n">
        <v>0.1</v>
      </c>
      <c r="C35" s="31" t="inlineStr">
        <is>
          <t>of legal fees</t>
        </is>
      </c>
      <c r="D35" s="32" t="inlineStr">
        <is>
          <t>Jon's business plan v3, 31 July 2026.</t>
        </is>
      </c>
    </row>
    <row r="36" ht="20" customHeight="1">
      <c r="A36" s="23" t="inlineStr">
        <is>
          <t>Year-one budget (Jon's July 2026 plan)</t>
        </is>
      </c>
      <c r="B36" s="24" t="n"/>
      <c r="C36" s="24" t="n"/>
      <c r="D36" s="33" t="inlineStr">
        <is>
          <t>Every line is from Jon's business plan v3, 31 July 2026, unless noted.</t>
        </is>
      </c>
    </row>
    <row r="37">
      <c r="A37" s="43" t="inlineStr">
        <is>
          <t>Technical</t>
        </is>
      </c>
    </row>
    <row r="38">
      <c r="A38" s="25" t="inlineStr">
        <is>
          <t>Server cloud services</t>
        </is>
      </c>
      <c r="B38" s="26" t="n">
        <v>100000</v>
      </c>
      <c r="C38" s="27" t="inlineStr">
        <is>
          <t>AED a year</t>
        </is>
      </c>
    </row>
    <row r="39" ht="16" customHeight="1">
      <c r="A39" s="29" t="inlineStr">
        <is>
          <t>Outsourced call centre</t>
        </is>
      </c>
      <c r="B39" s="30" t="n">
        <v>140000</v>
      </c>
      <c r="C39" s="31" t="inlineStr">
        <is>
          <t>AED a year</t>
        </is>
      </c>
      <c r="D39" s="32" t="inlineStr">
        <is>
          <t>Pays for the 24/7 operations desk today. Sized on the Delivery team sheet.</t>
        </is>
      </c>
    </row>
    <row r="40" ht="16" customHeight="1">
      <c r="A40" s="25" t="inlineStr">
        <is>
          <t>Outsourced tech support</t>
        </is>
      </c>
      <c r="B40" s="26" t="n">
        <v>600000</v>
      </c>
      <c r="C40" s="27" t="inlineStr">
        <is>
          <t>AED a year</t>
        </is>
      </c>
      <c r="D40" s="28" t="inlineStr">
        <is>
          <t>The development partner's envelope. Mapped to people on the Delivery team sheet.</t>
        </is>
      </c>
    </row>
    <row r="41">
      <c r="A41" s="29" t="inlineStr">
        <is>
          <t>Equipment</t>
        </is>
      </c>
      <c r="B41" s="30" t="n">
        <v>100000</v>
      </c>
      <c r="C41" s="31" t="inlineStr">
        <is>
          <t>AED a year</t>
        </is>
      </c>
      <c r="D41" s="36" t="n"/>
    </row>
    <row r="42">
      <c r="A42" s="25" t="inlineStr">
        <is>
          <t>Services and licences</t>
        </is>
      </c>
      <c r="B42" s="26" t="n">
        <v>160000</v>
      </c>
      <c r="C42" s="27" t="inlineStr">
        <is>
          <t>AED a year</t>
        </is>
      </c>
    </row>
    <row r="43">
      <c r="A43" s="29" t="inlineStr">
        <is>
          <t>Contingency</t>
        </is>
      </c>
      <c r="B43" s="30" t="n">
        <v>100000</v>
      </c>
      <c r="C43" s="31" t="inlineStr">
        <is>
          <t>AED a year</t>
        </is>
      </c>
      <c r="D43" s="36" t="n"/>
    </row>
    <row r="44">
      <c r="A44" s="43" t="inlineStr">
        <is>
          <t>Marketing</t>
        </is>
      </c>
    </row>
    <row r="45" ht="16" customHeight="1">
      <c r="A45" s="25" t="inlineStr">
        <is>
          <t>Helios AI Agency</t>
        </is>
      </c>
      <c r="B45" s="26" t="n">
        <v>480000</v>
      </c>
      <c r="C45" s="27" t="inlineStr">
        <is>
          <t>AED a year</t>
        </is>
      </c>
      <c r="D45" s="28" t="inlineStr">
        <is>
          <t>An agency on contract that may take on marketing work.</t>
        </is>
      </c>
    </row>
    <row r="46">
      <c r="A46" s="29" t="inlineStr">
        <is>
          <t>Social media ads</t>
        </is>
      </c>
      <c r="B46" s="30" t="n">
        <v>480000</v>
      </c>
      <c r="C46" s="31" t="inlineStr">
        <is>
          <t>AED a year</t>
        </is>
      </c>
      <c r="D46" s="36" t="n"/>
    </row>
    <row r="47">
      <c r="A47" s="25" t="inlineStr">
        <is>
          <t>Public relations</t>
        </is>
      </c>
      <c r="B47" s="26" t="n">
        <v>480000</v>
      </c>
      <c r="C47" s="27" t="inlineStr">
        <is>
          <t>AED a year</t>
        </is>
      </c>
    </row>
    <row r="48">
      <c r="A48" s="29" t="inlineStr">
        <is>
          <t>Contingency</t>
        </is>
      </c>
      <c r="B48" s="30" t="n">
        <v>100000</v>
      </c>
      <c r="C48" s="31" t="inlineStr">
        <is>
          <t>AED a year</t>
        </is>
      </c>
      <c r="D48" s="36" t="n"/>
    </row>
    <row r="49">
      <c r="A49" s="43" t="inlineStr">
        <is>
          <t>Administration</t>
        </is>
      </c>
    </row>
    <row r="50">
      <c r="A50" s="25" t="inlineStr">
        <is>
          <t>Personnel (accounts, tech, B2B)</t>
        </is>
      </c>
      <c r="B50" s="26" t="n">
        <v>600000</v>
      </c>
      <c r="C50" s="27" t="inlineStr">
        <is>
          <t>AED a year</t>
        </is>
      </c>
    </row>
    <row r="51">
      <c r="A51" s="29" t="inlineStr">
        <is>
          <t>Office</t>
        </is>
      </c>
      <c r="B51" s="30" t="n">
        <v>500000</v>
      </c>
      <c r="C51" s="31" t="inlineStr">
        <is>
          <t>AED a year</t>
        </is>
      </c>
      <c r="D51" s="36" t="n"/>
    </row>
    <row r="52">
      <c r="A52" s="25" t="inlineStr">
        <is>
          <t>D&amp;O and PI insurance</t>
        </is>
      </c>
      <c r="B52" s="26" t="n">
        <v>100000</v>
      </c>
      <c r="C52" s="27" t="inlineStr">
        <is>
          <t>AED a year</t>
        </is>
      </c>
    </row>
    <row r="53" ht="16" customHeight="1">
      <c r="A53" s="29" t="inlineStr">
        <is>
          <t>Board fee per board member</t>
        </is>
      </c>
      <c r="B53" s="30" t="n">
        <v>10000</v>
      </c>
      <c r="C53" s="31" t="inlineStr">
        <is>
          <t>AED a month</t>
        </is>
      </c>
      <c r="D53" s="32" t="inlineStr">
        <is>
          <t>Stevan, 1 October 2026: AED 10,000 a month for each board member.</t>
        </is>
      </c>
    </row>
    <row r="54">
      <c r="A54" s="25" t="inlineStr">
        <is>
          <t>Board members</t>
        </is>
      </c>
      <c r="B54" s="26" t="n">
        <v>4</v>
      </c>
      <c r="C54" s="27" t="inlineStr">
        <is>
          <t>people</t>
        </is>
      </c>
    </row>
    <row r="55" ht="16" customHeight="1">
      <c r="A55" s="29" t="inlineStr">
        <is>
          <t>Months of board fees</t>
        </is>
      </c>
      <c r="B55" s="41" t="n">
        <v>12</v>
      </c>
      <c r="C55" s="31" t="inlineStr">
        <is>
          <t>months</t>
        </is>
      </c>
      <c r="D55" s="32" t="inlineStr">
        <is>
          <t>Board fees = fee × board members × months: AED 480,000 in the plan.</t>
        </is>
      </c>
    </row>
    <row r="56">
      <c r="A56" s="25" t="inlineStr">
        <is>
          <t>Contingency</t>
        </is>
      </c>
      <c r="B56" s="26" t="n">
        <v>200000</v>
      </c>
      <c r="C56" s="27" t="inlineStr">
        <is>
          <t>AED a year</t>
        </is>
      </c>
    </row>
    <row r="57" ht="20" customHeight="1">
      <c r="A57" s="23" t="inlineStr">
        <is>
          <t>The raise</t>
        </is>
      </c>
      <c r="B57" s="24" t="n"/>
      <c r="C57" s="24" t="n"/>
      <c r="D57" s="24" t="n"/>
    </row>
    <row r="58" ht="29" customHeight="1">
      <c r="A58" s="25" t="inlineStr">
        <is>
          <t>Raise</t>
        </is>
      </c>
      <c r="B58" s="26" t="n">
        <v>7000000</v>
      </c>
      <c r="C58" s="27" t="inlineStr">
        <is>
          <t>AED</t>
        </is>
      </c>
      <c r="D58" s="28" t="inlineStr">
        <is>
          <t>Jon's business plan v3, 31 July 2026: the year-one budget of AED 4.62M plus AED 2.38M contingency. The contingency is whatever the raise leaves after the budget (Runway sheet).</t>
        </is>
      </c>
    </row>
    <row r="59" ht="20" customHeight="1">
      <c r="A59" s="23" t="inlineStr">
        <is>
          <t>Exchange rates</t>
        </is>
      </c>
      <c r="B59" s="24" t="n"/>
      <c r="C59" s="24" t="n"/>
      <c r="D59" s="24" t="n"/>
    </row>
    <row r="60" ht="16" customHeight="1">
      <c r="A60" s="25" t="inlineStr">
        <is>
          <t>USD per EUR</t>
        </is>
      </c>
      <c r="B60" s="44" t="n">
        <v>1.1298</v>
      </c>
      <c r="C60" s="27" t="inlineStr">
        <is>
          <t>USD</t>
        </is>
      </c>
      <c r="D60" s="28" t="inlineStr">
        <is>
          <t>ECB euro reference rate, 1 October 2026.</t>
        </is>
      </c>
    </row>
    <row r="61" ht="16" customHeight="1">
      <c r="A61" s="29" t="inlineStr">
        <is>
          <t>AED per USD</t>
        </is>
      </c>
      <c r="B61" s="45" t="n">
        <v>3.6725</v>
      </c>
      <c r="C61" s="31" t="inlineStr">
        <is>
          <t>AED</t>
        </is>
      </c>
      <c r="D61" s="32" t="inlineStr">
        <is>
          <t>The UAE dirham peg.</t>
        </is>
      </c>
    </row>
    <row r="62" ht="16" customHeight="1">
      <c r="A62" s="25" t="inlineStr">
        <is>
          <t>AED per EUR</t>
        </is>
      </c>
      <c r="B62" s="46">
        <f>USD_per_EUR*AED_per_USD</f>
        <v>4.1491905</v>
      </c>
      <c r="C62" s="27" t="inlineStr">
        <is>
          <t>AED</t>
        </is>
      </c>
      <c r="D62" s="28" t="inlineStr">
        <is>
          <t>Calculated: USD per EUR × AED per USD.</t>
        </is>
      </c>
    </row>
    <row r="63" ht="16" customHeight="1">
      <c r="A63" s="29" t="inlineStr">
        <is>
          <t>AED per GBP</t>
        </is>
      </c>
      <c r="B63" s="37" t="n">
        <v>4.86</v>
      </c>
      <c r="C63" s="31" t="inlineStr">
        <is>
          <t>AED</t>
        </is>
      </c>
      <c r="D63" s="32" t="inlineStr">
        <is>
          <t>Reference only: used for the GBP column on the Delivery team sheet.</t>
        </is>
      </c>
    </row>
    <row r="64" ht="20" customHeight="1">
      <c r="A64" s="23" t="inlineStr">
        <is>
          <t>Delivery team (the Outsourced tech support line)</t>
        </is>
      </c>
      <c r="B64" s="24" t="n"/>
      <c r="C64" s="24" t="n"/>
      <c r="D64" s="24" t="n"/>
    </row>
    <row r="65" ht="29" customHeight="1">
      <c r="A65" s="25" t="inlineStr">
        <is>
          <t>Annual cost of one full-time person</t>
        </is>
      </c>
      <c r="B65" s="26" t="n">
        <v>40000</v>
      </c>
      <c r="C65" s="27" t="inlineStr">
        <is>
          <t>EUR a year</t>
        </is>
      </c>
      <c r="D65" s="28" t="inlineStr">
        <is>
          <t>Stevan's basis: Eastern European rates of about EUR 40,000 a year. Used for Stevan's basis and for the plan's team.</t>
        </is>
      </c>
    </row>
    <row r="66" ht="16" customHeight="1">
      <c r="A66" s="29" t="inlineStr">
        <is>
          <t>Hours in one full-time month</t>
        </is>
      </c>
      <c r="B66" s="30" t="n">
        <v>160</v>
      </c>
      <c r="C66" s="31" t="inlineStr">
        <is>
          <t>hours</t>
        </is>
      </c>
      <c r="D66" s="32" t="inlineStr">
        <is>
          <t>FTE = hours a month ÷ hours in one full-time month.</t>
        </is>
      </c>
    </row>
    <row r="67" ht="16" customHeight="1">
      <c r="A67" s="25" t="inlineStr">
        <is>
          <t>Stevan's basis: people on the line</t>
        </is>
      </c>
      <c r="B67" s="26" t="n">
        <v>3</v>
      </c>
      <c r="C67" s="27" t="inlineStr">
        <is>
          <t>people</t>
        </is>
      </c>
      <c r="D67" s="28" t="inlineStr">
        <is>
          <t>Stevan: "600 divided by three... for three people".</t>
        </is>
      </c>
    </row>
    <row r="68" ht="29" customHeight="1">
      <c r="A68" s="29" t="inlineStr">
        <is>
          <t>Second full-time engineer: start month</t>
        </is>
      </c>
      <c r="B68" s="41" t="n">
        <v>4</v>
      </c>
      <c r="C68" s="31" t="inlineStr">
        <is>
          <t>month of year one</t>
        </is>
      </c>
      <c r="D68" s="32" t="inlineStr">
        <is>
          <t>Starts on a trigger: 90 days after soft launch, about 2,000 members, or two months above 120% of planned hours. Month 4 gives 9 months.</t>
        </is>
      </c>
    </row>
    <row r="69" ht="16" customHeight="1">
      <c r="A69" s="9" t="inlineStr">
        <is>
          <t>Role</t>
        </is>
      </c>
      <c r="B69" s="11" t="inlineStr">
        <is>
          <t>Hours a month</t>
        </is>
      </c>
      <c r="C69" s="11" t="inlineStr">
        <is>
          <t>Months active</t>
        </is>
      </c>
      <c r="D69" s="10" t="inlineStr">
        <is>
          <t>Priority tier (1 is highest)</t>
        </is>
      </c>
    </row>
    <row r="70">
      <c r="A70" s="25" t="inlineStr">
        <is>
          <t>Lead engineer (full-stack, uses AI tools heavily)</t>
        </is>
      </c>
      <c r="B70" s="26" t="n">
        <v>160</v>
      </c>
      <c r="C70" s="42" t="n">
        <v>12</v>
      </c>
      <c r="D70" s="47" t="n">
        <v>1</v>
      </c>
    </row>
    <row r="71">
      <c r="A71" s="29" t="inlineStr">
        <is>
          <t>Backup engineer</t>
        </is>
      </c>
      <c r="B71" s="30" t="n">
        <v>40</v>
      </c>
      <c r="C71" s="41" t="n">
        <v>12</v>
      </c>
      <c r="D71" s="48" t="n">
        <v>1</v>
      </c>
    </row>
    <row r="72">
      <c r="A72" s="25" t="inlineStr">
        <is>
          <t>DevOps</t>
        </is>
      </c>
      <c r="B72" s="26" t="n">
        <v>25</v>
      </c>
      <c r="C72" s="42" t="n">
        <v>12</v>
      </c>
      <c r="D72" s="47" t="n">
        <v>2</v>
      </c>
    </row>
    <row r="73">
      <c r="A73" s="29" t="inlineStr">
        <is>
          <t>UI designer, steady months</t>
        </is>
      </c>
      <c r="B73" s="30" t="n">
        <v>25</v>
      </c>
      <c r="C73" s="41" t="n">
        <v>10</v>
      </c>
      <c r="D73" s="48" t="n">
        <v>1</v>
      </c>
    </row>
    <row r="74">
      <c r="A74" s="25" t="inlineStr">
        <is>
          <t>UI designer, launch months</t>
        </is>
      </c>
      <c r="B74" s="26" t="n">
        <v>60</v>
      </c>
      <c r="C74" s="42" t="n">
        <v>2</v>
      </c>
      <c r="D74" s="47" t="n">
        <v>1</v>
      </c>
    </row>
    <row r="75">
      <c r="A75" s="29" t="inlineStr">
        <is>
          <t>Project coordination</t>
        </is>
      </c>
      <c r="B75" s="30" t="n">
        <v>15</v>
      </c>
      <c r="C75" s="41" t="n">
        <v>12</v>
      </c>
      <c r="D75" s="48" t="n">
        <v>2</v>
      </c>
    </row>
    <row r="76">
      <c r="A76" s="25" t="inlineStr">
        <is>
          <t>Second full-time engineer</t>
        </is>
      </c>
      <c r="B76" s="26" t="n">
        <v>160</v>
      </c>
      <c r="C76" s="49">
        <f>MAX(0,Months_Year-Eng2_Start+1)</f>
        <v>9</v>
      </c>
      <c r="D76" s="47" t="n">
        <v>2</v>
      </c>
    </row>
    <row r="77">
      <c r="A77" s="21" t="inlineStr">
        <is>
          <t>The second engineer's months active follow from the start month above (12 less the start month, plus 1).</t>
        </is>
      </c>
    </row>
    <row r="78" ht="20" customHeight="1">
      <c r="A78" s="23" t="inlineStr">
        <is>
          <t>24/7 operations desk (a sizing aid, not a quote)</t>
        </is>
      </c>
      <c r="B78" s="24" t="n"/>
      <c r="C78" s="24" t="n"/>
      <c r="D78" s="24" t="n"/>
    </row>
    <row r="79" ht="16" customHeight="1">
      <c r="A79" s="25" t="inlineStr">
        <is>
          <t>Hours to cover a week</t>
        </is>
      </c>
      <c r="B79" s="26" t="n">
        <v>168</v>
      </c>
      <c r="C79" s="27" t="inlineStr">
        <is>
          <t>hours</t>
        </is>
      </c>
      <c r="D79" s="28" t="inlineStr">
        <is>
          <t>24 hours × 7 days.</t>
        </is>
      </c>
    </row>
    <row r="80" ht="16" customHeight="1">
      <c r="A80" s="29" t="inlineStr">
        <is>
          <t>Seats staffed at once</t>
        </is>
      </c>
      <c r="B80" s="30" t="n">
        <v>1</v>
      </c>
      <c r="C80" s="31" t="inlineStr">
        <is>
          <t>seats</t>
        </is>
      </c>
      <c r="D80" s="32" t="inlineStr">
        <is>
          <t>One agent on duty at any time.</t>
        </is>
      </c>
    </row>
    <row r="81" ht="16" customHeight="1">
      <c r="A81" s="25" t="inlineStr">
        <is>
          <t>Agent hours a week</t>
        </is>
      </c>
      <c r="B81" s="26" t="n">
        <v>40</v>
      </c>
      <c r="C81" s="27" t="inlineStr">
        <is>
          <t>hours</t>
        </is>
      </c>
      <c r="D81" s="28" t="inlineStr">
        <is>
          <t>One full-time agent.</t>
        </is>
      </c>
    </row>
    <row r="82" ht="16" customHeight="1">
      <c r="A82" s="29" t="inlineStr">
        <is>
          <t>Cover factor for leave and sickness</t>
        </is>
      </c>
      <c r="B82" s="37" t="n">
        <v>1.2</v>
      </c>
      <c r="C82" s="31" t="inlineStr">
        <is>
          <t>×</t>
        </is>
      </c>
      <c r="D82" s="32" t="inlineStr">
        <is>
          <t>Extra people to cover leave, sickness and training.</t>
        </is>
      </c>
    </row>
    <row r="83" ht="16" customHeight="1">
      <c r="A83" s="25" t="inlineStr">
        <is>
          <t>Monthly cost per agent</t>
        </is>
      </c>
      <c r="B83" s="50" t="n">
        <v>6000</v>
      </c>
      <c r="C83" s="27" t="inlineStr">
        <is>
          <t>AED a month</t>
        </is>
      </c>
      <c r="D83" s="28" t="inlineStr">
        <is>
          <t>Placeholder, to be quoted. Not a quote: replace it with a real figure.</t>
        </is>
      </c>
    </row>
    <row r="84" ht="20" customHeight="1">
      <c r="A84" s="23" t="inlineStr">
        <is>
          <t>Calendar</t>
        </is>
      </c>
      <c r="B84" s="24" t="n"/>
      <c r="C84" s="24" t="n"/>
      <c r="D84" s="24" t="n"/>
    </row>
    <row r="85" ht="16" customHeight="1">
      <c r="A85" s="25" t="inlineStr">
        <is>
          <t>Months in a year</t>
        </is>
      </c>
      <c r="B85" s="42" t="n">
        <v>12</v>
      </c>
      <c r="C85" s="27" t="inlineStr">
        <is>
          <t>months</t>
        </is>
      </c>
      <c r="D85" s="28" t="inlineStr">
        <is>
          <t>Used for monthly prices, the monthly burn and part-year costs.</t>
        </is>
      </c>
    </row>
  </sheetData>
  <conditionalFormatting sqref="D19">
    <cfRule type="expression" priority="1" dxfId="0">
      <formula>ROUND($B$19,6)&lt;&gt;1</formula>
    </cfRule>
  </conditionalFormatting>
  <dataValidations count="3">
    <dataValidation sqref="B26 B32" showDropDown="0" showInputMessage="0" showErrorMessage="1" allowBlank="0" errorTitle="Switch" error="Enter 1 or 0." type="list">
      <formula1>"1,0"</formula1>
    </dataValidation>
    <dataValidation sqref="B16 B17 B18 B21 B22 B23 B24 B28 B30 B33 B35" showDropDown="0" showInputMessage="0" showErrorMessage="1" allowBlank="0" errorTitle="Percentage" error="Enter a percentage between 0% and 100%." type="decimal" operator="between">
      <formula1>0</formula1>
      <formula2>1</formula2>
    </dataValidation>
    <dataValidation sqref="B68" showDropDown="0" showInputMessage="0" showErrorMessage="1" allowBlank="0" errorTitle="Month" error="Enter a month from 1 to 12." type="whole" operator="between">
      <formula1>1</formula1>
      <formula2>12</formula2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0E8F5C"/>
    <outlinePr summaryBelow="1" summaryRight="1"/>
    <pageSetUpPr fitToPage="1"/>
  </sheetPr>
  <dimension ref="A1:E41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72" customWidth="1" min="5" max="5"/>
  </cols>
  <sheetData>
    <row r="1" ht="24" customHeight="1">
      <c r="A1" s="22" t="inlineStr">
        <is>
          <t>Revenue: three year-one cases</t>
        </is>
      </c>
    </row>
    <row r="2">
      <c r="A2" s="21" t="inlineStr">
        <is>
          <t>AED unless marked. Every member is counted for the whole of year one. Inputs are on the Assumptions sheet.</t>
        </is>
      </c>
    </row>
    <row r="3">
      <c r="A3" s="51" t="str">
        <f>IF(ROUND(Mix_Weekly+Mix_Monthly+Mix_Annual,6)&lt;&gt;1,"Check: the plan mix on the Assumptions sheet does not add to 100%.",IF(Legal_Include=0,"Legal referral revenue is switched off on the Assumptions sheet.",""))</f>
        <v/>
      </c>
    </row>
    <row r="4" ht="20" customHeight="1">
      <c r="A4" s="52" t="inlineStr">
        <is>
          <t>Year one at a glance (AED millions)</t>
        </is>
      </c>
    </row>
    <row r="5" ht="16" customHeight="1">
      <c r="A5" s="9" t="inlineStr">
        <is>
          <t>Year one (AED M)</t>
        </is>
      </c>
      <c r="B5" s="11" t="inlineStr">
        <is>
          <t>Low</t>
        </is>
      </c>
      <c r="C5" s="11" t="inlineStr">
        <is>
          <t>Base</t>
        </is>
      </c>
      <c r="D5" s="11" t="inlineStr">
        <is>
          <t>High</t>
        </is>
      </c>
      <c r="E5" s="10" t="inlineStr">
        <is>
          <t>Note</t>
        </is>
      </c>
    </row>
    <row r="6" ht="16" customHeight="1">
      <c r="A6" s="12" t="inlineStr">
        <is>
          <t>Members</t>
        </is>
      </c>
      <c r="B6" s="53">
        <f>B16</f>
        <v>100000</v>
      </c>
      <c r="C6" s="53">
        <f>C16</f>
        <v>300000</v>
      </c>
      <c r="D6" s="53">
        <f>D16</f>
        <v>500000</v>
      </c>
      <c r="E6" s="28" t="inlineStr">
        <is>
          <t>Assumptions sheet.</t>
        </is>
      </c>
    </row>
    <row r="7" ht="16" customHeight="1">
      <c r="A7" s="14" t="inlineStr">
        <is>
          <t>Membership</t>
        </is>
      </c>
      <c r="B7" s="54">
        <f>B18/1000000</f>
        <v>50</v>
      </c>
      <c r="C7" s="54">
        <f>C18/1000000</f>
        <v>150</v>
      </c>
      <c r="D7" s="54">
        <f>D18/1000000</f>
        <v>250</v>
      </c>
      <c r="E7" s="32" t="inlineStr">
        <is>
          <t>Members × net value per member after VAT and Apple.</t>
        </is>
      </c>
    </row>
    <row r="8" ht="16" customHeight="1">
      <c r="A8" s="12" t="inlineStr">
        <is>
          <t>Insurance commission</t>
        </is>
      </c>
      <c r="B8" s="55">
        <f>B21/1000000</f>
        <v>15</v>
      </c>
      <c r="C8" s="55">
        <f>C21/1000000</f>
        <v>45</v>
      </c>
      <c r="D8" s="55">
        <f>D21/1000000</f>
        <v>75</v>
      </c>
      <c r="E8" s="28" t="inlineStr">
        <is>
          <t>Insured members × premium × ELA's share.</t>
        </is>
      </c>
    </row>
    <row r="9" ht="16" customHeight="1">
      <c r="A9" s="14" t="inlineStr">
        <is>
          <t>Legal referral commission</t>
        </is>
      </c>
      <c r="B9" s="54">
        <f>B24/1000000</f>
        <v>5</v>
      </c>
      <c r="C9" s="54">
        <f>C24/1000000</f>
        <v>15</v>
      </c>
      <c r="D9" s="54">
        <f>D24/1000000</f>
        <v>25</v>
      </c>
      <c r="E9" s="32" t="inlineStr">
        <is>
          <t>Claims × legal fees per claim × referral rate. Subject to legal advice.</t>
        </is>
      </c>
    </row>
    <row r="10">
      <c r="A10" s="17" t="inlineStr">
        <is>
          <t>Total revenue</t>
        </is>
      </c>
      <c r="B10" s="56">
        <f>B25/1000000</f>
        <v>70</v>
      </c>
      <c r="C10" s="56">
        <f>C25/1000000</f>
        <v>210</v>
      </c>
      <c r="D10" s="56">
        <f>D25/1000000</f>
        <v>350</v>
      </c>
      <c r="E10" s="57" t="n"/>
    </row>
    <row r="11" ht="16" customHeight="1">
      <c r="A11" s="12" t="inlineStr">
        <is>
          <t>Year-one costs</t>
        </is>
      </c>
      <c r="B11" s="58">
        <f>B26/1000000</f>
        <v>4.62</v>
      </c>
      <c r="C11" s="58">
        <f>C26/1000000</f>
        <v>4.62</v>
      </c>
      <c r="D11" s="58">
        <f>D26/1000000</f>
        <v>4.62</v>
      </c>
      <c r="E11" s="28" t="inlineStr">
        <is>
          <t>Year-one budget (Budget sheet).</t>
        </is>
      </c>
    </row>
    <row r="12" ht="16" customHeight="1">
      <c r="A12" s="17" t="inlineStr">
        <is>
          <t>Result before tax</t>
        </is>
      </c>
      <c r="B12" s="59">
        <f>B27/1000000</f>
        <v>65.38</v>
      </c>
      <c r="C12" s="59">
        <f>C27/1000000</f>
        <v>205.38</v>
      </c>
      <c r="D12" s="59">
        <f>D27/1000000</f>
        <v>345.38</v>
      </c>
      <c r="E12" s="60" t="inlineStr">
        <is>
          <t>Revenue less costs.</t>
        </is>
      </c>
    </row>
    <row r="13"/>
    <row r="14" ht="20" customHeight="1">
      <c r="A14" s="52" t="inlineStr">
        <is>
          <t>How each line is built (AED)</t>
        </is>
      </c>
    </row>
    <row r="15" ht="16" customHeight="1">
      <c r="A15" s="9" t="inlineStr">
        <is>
          <t>Line</t>
        </is>
      </c>
      <c r="B15" s="11" t="inlineStr">
        <is>
          <t>Low</t>
        </is>
      </c>
      <c r="C15" s="11" t="inlineStr">
        <is>
          <t>Base</t>
        </is>
      </c>
      <c r="D15" s="11" t="inlineStr">
        <is>
          <t>High</t>
        </is>
      </c>
      <c r="E15" s="10" t="inlineStr">
        <is>
          <t>How it is built</t>
        </is>
      </c>
    </row>
    <row r="16" ht="16" customHeight="1">
      <c r="A16" s="12" t="inlineStr">
        <is>
          <t>Members</t>
        </is>
      </c>
      <c r="B16" s="61">
        <f>Members_Low</f>
        <v>100000</v>
      </c>
      <c r="C16" s="61">
        <f>Members_Base</f>
        <v>300000</v>
      </c>
      <c r="D16" s="61">
        <f>Members_High</f>
        <v>500000</v>
      </c>
      <c r="E16" s="28" t="inlineStr">
        <is>
          <t>Assumptions sheet.</t>
        </is>
      </c>
    </row>
    <row r="17" ht="16" customHeight="1">
      <c r="A17" s="14" t="inlineStr">
        <is>
          <t>Net value per member a year</t>
        </is>
      </c>
      <c r="B17" s="62">
        <f>$B$40</f>
        <v>500</v>
      </c>
      <c r="C17" s="62">
        <f>$B$40</f>
        <v>500</v>
      </c>
      <c r="D17" s="62">
        <f>$B$40</f>
        <v>500</v>
      </c>
      <c r="E17" s="32" t="inlineStr">
        <is>
          <t>After VAT and Apple: the table below.</t>
        </is>
      </c>
    </row>
    <row r="18" ht="16" customHeight="1">
      <c r="A18" s="6" t="inlineStr">
        <is>
          <t>Membership revenue</t>
        </is>
      </c>
      <c r="B18" s="63">
        <f>B16*B17</f>
        <v>50000000</v>
      </c>
      <c r="C18" s="63">
        <f>C16*C17</f>
        <v>150000000</v>
      </c>
      <c r="D18" s="63">
        <f>D16*D17</f>
        <v>250000000</v>
      </c>
      <c r="E18" s="28" t="inlineStr">
        <is>
          <t>Members × net value per member.</t>
        </is>
      </c>
    </row>
    <row r="19" ht="16" customHeight="1">
      <c r="A19" s="14" t="inlineStr">
        <is>
          <t>Members with the insurance add-on</t>
        </is>
      </c>
      <c r="B19" s="64">
        <f>B16*Ins_TakeUp</f>
        <v>50000</v>
      </c>
      <c r="C19" s="64">
        <f>C16*Ins_TakeUp</f>
        <v>150000</v>
      </c>
      <c r="D19" s="64">
        <f>D16*Ins_TakeUp</f>
        <v>250000</v>
      </c>
      <c r="E19" s="32" t="inlineStr">
        <is>
          <t>Members × take-up of the add-on.</t>
        </is>
      </c>
    </row>
    <row r="20" ht="16" customHeight="1">
      <c r="A20" s="12" t="inlineStr">
        <is>
          <t>Insurance premiums paid</t>
        </is>
      </c>
      <c r="B20" s="65">
        <f>B19*Ins_Premium</f>
        <v>150000000</v>
      </c>
      <c r="C20" s="65">
        <f>C19*Ins_Premium</f>
        <v>450000000</v>
      </c>
      <c r="D20" s="65">
        <f>D19*Ins_Premium</f>
        <v>750000000</v>
      </c>
      <c r="E20" s="28" t="inlineStr">
        <is>
          <t>Insured members × premium per adult a year.</t>
        </is>
      </c>
    </row>
    <row r="21" ht="16" customHeight="1">
      <c r="A21" s="66" t="inlineStr">
        <is>
          <t>Insurance commission</t>
        </is>
      </c>
      <c r="B21" s="67">
        <f>B20*Ins_Share</f>
        <v>15000000</v>
      </c>
      <c r="C21" s="67">
        <f>C20*Ins_Share</f>
        <v>45000000</v>
      </c>
      <c r="D21" s="67">
        <f>D20*Ins_Share</f>
        <v>75000000</v>
      </c>
      <c r="E21" s="32" t="inlineStr">
        <is>
          <t>Premiums × ELA's share.</t>
        </is>
      </c>
    </row>
    <row r="22" ht="16" customHeight="1">
      <c r="A22" s="12" t="inlineStr">
        <is>
          <t>Insured members who claim</t>
        </is>
      </c>
      <c r="B22" s="65">
        <f>B19*Claim_Rate</f>
        <v>500</v>
      </c>
      <c r="C22" s="65">
        <f>C19*Claim_Rate</f>
        <v>1500</v>
      </c>
      <c r="D22" s="65">
        <f>D19*Claim_Rate</f>
        <v>2500</v>
      </c>
      <c r="E22" s="28" t="inlineStr">
        <is>
          <t>Insured members × claim rate.</t>
        </is>
      </c>
    </row>
    <row r="23" ht="16" customHeight="1">
      <c r="A23" s="14" t="inlineStr">
        <is>
          <t>Legal fees on those claims</t>
        </is>
      </c>
      <c r="B23" s="64">
        <f>B22*Legal_Fees_Per_Claim</f>
        <v>50000000</v>
      </c>
      <c r="C23" s="64">
        <f>C22*Legal_Fees_Per_Claim</f>
        <v>150000000</v>
      </c>
      <c r="D23" s="64">
        <f>D22*Legal_Fees_Per_Claim</f>
        <v>250000000</v>
      </c>
      <c r="E23" s="32" t="inlineStr">
        <is>
          <t>Claims × legal fees per claim.</t>
        </is>
      </c>
    </row>
    <row r="24" ht="29" customHeight="1">
      <c r="A24" s="6" t="inlineStr">
        <is>
          <t>Legal referral commission</t>
        </is>
      </c>
      <c r="B24" s="63">
        <f>B23*Referral_Rate*Legal_Include</f>
        <v>5000000</v>
      </c>
      <c r="C24" s="63">
        <f>C23*Referral_Rate*Legal_Include</f>
        <v>15000000</v>
      </c>
      <c r="D24" s="63">
        <f>D23*Referral_Rate*Legal_Include</f>
        <v>25000000</v>
      </c>
      <c r="E24" s="28" t="inlineStr">
        <is>
          <t>Legal fees × referral rate, while the switch on the Assumptions sheet is 1. Subject to legal advice.</t>
        </is>
      </c>
    </row>
    <row r="25" ht="16" customHeight="1">
      <c r="A25" s="17" t="inlineStr">
        <is>
          <t>Total revenue</t>
        </is>
      </c>
      <c r="B25" s="68">
        <f>B18+B21+B24</f>
        <v>70000000</v>
      </c>
      <c r="C25" s="68">
        <f>C18+C21+C24</f>
        <v>210000000</v>
      </c>
      <c r="D25" s="68">
        <f>D18+D21+D24</f>
        <v>350000000</v>
      </c>
      <c r="E25" s="60" t="inlineStr">
        <is>
          <t>Membership + insurance commission + legal referral commission.</t>
        </is>
      </c>
    </row>
    <row r="26" ht="16" customHeight="1">
      <c r="A26" s="14" t="inlineStr">
        <is>
          <t>Year-one costs</t>
        </is>
      </c>
      <c r="B26" s="69">
        <f>Budget_Total</f>
        <v>4620000</v>
      </c>
      <c r="C26" s="69">
        <f>Budget_Total</f>
        <v>4620000</v>
      </c>
      <c r="D26" s="69">
        <f>Budget_Total</f>
        <v>4620000</v>
      </c>
      <c r="E26" s="32" t="inlineStr">
        <is>
          <t>Budget sheet.</t>
        </is>
      </c>
    </row>
    <row r="27" ht="16" customHeight="1">
      <c r="A27" s="17" t="inlineStr">
        <is>
          <t>Result before tax</t>
        </is>
      </c>
      <c r="B27" s="68">
        <f>B25-B26</f>
        <v>65380000</v>
      </c>
      <c r="C27" s="68">
        <f>C25-C26</f>
        <v>205380000</v>
      </c>
      <c r="D27" s="68">
        <f>D25-D26</f>
        <v>345380000</v>
      </c>
      <c r="E27" s="60" t="inlineStr">
        <is>
          <t>Revenue less costs.</t>
        </is>
      </c>
    </row>
    <row r="28"/>
    <row r="29" ht="20" customHeight="1">
      <c r="A29" s="52" t="inlineStr">
        <is>
          <t>What a member is worth a year after VAT and Apple (AED)</t>
        </is>
      </c>
    </row>
    <row r="30" ht="16" customHeight="1">
      <c r="A30" s="9" t="inlineStr">
        <is>
          <t>Plan</t>
        </is>
      </c>
      <c r="B30" s="11" t="inlineStr">
        <is>
          <t>Weekly</t>
        </is>
      </c>
      <c r="C30" s="11" t="inlineStr">
        <is>
          <t>Monthly</t>
        </is>
      </c>
      <c r="D30" s="11" t="inlineStr">
        <is>
          <t>Annual</t>
        </is>
      </c>
      <c r="E30" s="10" t="inlineStr">
        <is>
          <t>Note</t>
        </is>
      </c>
    </row>
    <row r="31" ht="16" customHeight="1">
      <c r="A31" s="12" t="inlineStr">
        <is>
          <t>Price, VAT included</t>
        </is>
      </c>
      <c r="B31" s="70">
        <f>Price_Weekly</f>
        <v>24.99</v>
      </c>
      <c r="C31" s="70">
        <f>Price_Monthly</f>
        <v>79.99</v>
      </c>
      <c r="D31" s="70">
        <f>Price_Annual</f>
        <v>749.99</v>
      </c>
      <c r="E31" s="28" t="inlineStr">
        <is>
          <t>App Store prices from 22 August 2026.</t>
        </is>
      </c>
    </row>
    <row r="32" ht="16" customHeight="1">
      <c r="A32" s="14" t="inlineStr">
        <is>
          <t>Gross a year, VAT included</t>
        </is>
      </c>
      <c r="B32" s="71">
        <f>B31*Weeks_per_year</f>
        <v>1303.9425</v>
      </c>
      <c r="C32" s="71">
        <f>C31*Months_Year</f>
        <v>959.88</v>
      </c>
      <c r="D32" s="71">
        <f>D31</f>
        <v>749.99</v>
      </c>
      <c r="E32" s="32" t="inlineStr">
        <is>
          <t>Weekly price × weeks billed in a year; monthly price × 12.</t>
        </is>
      </c>
    </row>
    <row r="33" ht="16" customHeight="1">
      <c r="A33" s="12" t="inlineStr">
        <is>
          <t>Net of VAT</t>
        </is>
      </c>
      <c r="B33" s="53">
        <f>B32/(1+VAT_Rate)</f>
        <v>1241.85</v>
      </c>
      <c r="C33" s="53">
        <f>C32/(1+VAT_Rate)</f>
        <v>914.171428571429</v>
      </c>
      <c r="D33" s="53">
        <f>D32/(1+VAT_Rate)</f>
        <v>714.27619047619</v>
      </c>
      <c r="E33" s="28" t="inlineStr">
        <is>
          <t>Gross ÷ (1 + VAT rate).</t>
        </is>
      </c>
    </row>
    <row r="34" ht="16" customHeight="1">
      <c r="A34" s="14" t="inlineStr">
        <is>
          <t>Year one, after Apple's first-year commission</t>
        </is>
      </c>
      <c r="B34" s="62">
        <f>IF(Round_Net=1,ROUND(B33*(1-Apple_Rate_Y1),0),B33*(1-Apple_Rate_Y1))</f>
        <v>869</v>
      </c>
      <c r="C34" s="62">
        <f>IF(Round_Net=1,ROUND(C33*(1-Apple_Rate_Y1),0),C33*(1-Apple_Rate_Y1))</f>
        <v>640</v>
      </c>
      <c r="D34" s="62">
        <f>IF(Round_Net=1,ROUND(D33*(1-Apple_Rate_Y1),0),D33*(1-Apple_Rate_Y1))</f>
        <v>500</v>
      </c>
      <c r="E34" s="32" t="inlineStr">
        <is>
          <t>Net of VAT less 30% to Apple. Rounded to whole AED while the rounding switch is 1.</t>
        </is>
      </c>
    </row>
    <row r="35" ht="16" customHeight="1">
      <c r="A35" s="12" t="inlineStr">
        <is>
          <t>From year two, after Apple's second-year commission</t>
        </is>
      </c>
      <c r="B35" s="58">
        <f>IF(Round_Net=1,ROUND(B33*(1-Apple_Rate_Y2),0),B33*(1-Apple_Rate_Y2))</f>
        <v>1056</v>
      </c>
      <c r="C35" s="58">
        <f>IF(Round_Net=1,ROUND(C33*(1-Apple_Rate_Y2),0),C33*(1-Apple_Rate_Y2))</f>
        <v>777</v>
      </c>
      <c r="D35" s="58">
        <f>IF(Round_Net=1,ROUND(D33*(1-Apple_Rate_Y2),0),D33*(1-Apple_Rate_Y2))</f>
        <v>607</v>
      </c>
      <c r="E35" s="28" t="inlineStr">
        <is>
          <t>Reference only: the same member once Apple's rate drops to 15%.</t>
        </is>
      </c>
    </row>
    <row r="36" ht="16" customHeight="1">
      <c r="A36" s="14" t="inlineStr">
        <is>
          <t>Plan mix (share of App Store members)</t>
        </is>
      </c>
      <c r="B36" s="72">
        <f>Mix_Weekly</f>
        <v>0</v>
      </c>
      <c r="C36" s="72">
        <f>Mix_Monthly</f>
        <v>0</v>
      </c>
      <c r="D36" s="72">
        <f>Mix_Annual</f>
        <v>1</v>
      </c>
      <c r="E36" s="32" t="inlineStr">
        <is>
          <t>Assumptions sheet.</t>
        </is>
      </c>
    </row>
    <row r="37" ht="16" customHeight="1">
      <c r="A37" s="12" t="inlineStr">
        <is>
          <t>App Store member, mix-weighted, year one</t>
        </is>
      </c>
      <c r="B37" s="58">
        <f>SUMPRODUCT(B34:D34,B36:D36)</f>
        <v>500</v>
      </c>
      <c r="E37" s="28" t="inlineStr">
        <is>
          <t>Year-one values weighted by the plan mix.</t>
        </is>
      </c>
    </row>
    <row r="38" ht="16" customHeight="1">
      <c r="A38" s="14" t="inlineStr">
        <is>
          <t>Company seat sold by contract, net of VAT</t>
        </is>
      </c>
      <c r="B38" s="62">
        <f>IF(Round_Net=1,ROUND(Contract_Price/(1+VAT_Rate),0),Contract_Price/(1+VAT_Rate))</f>
        <v>714</v>
      </c>
      <c r="C38" s="36" t="n"/>
      <c r="D38" s="36" t="n"/>
      <c r="E38" s="32" t="inlineStr">
        <is>
          <t>Company seat price ÷ (1 + VAT rate). Contract seats skip Apple.</t>
        </is>
      </c>
    </row>
    <row r="39" ht="16" customHeight="1">
      <c r="A39" s="12" t="inlineStr">
        <is>
          <t>Share of members on company seats</t>
        </is>
      </c>
      <c r="B39" s="73">
        <f>Contract_Share</f>
        <v>0</v>
      </c>
      <c r="E39" s="28" t="inlineStr">
        <is>
          <t>Assumptions sheet.</t>
        </is>
      </c>
    </row>
    <row r="40" ht="16" customHeight="1">
      <c r="A40" s="17" t="inlineStr">
        <is>
          <t>Net value per member a year, year one</t>
        </is>
      </c>
      <c r="B40" s="59">
        <f>(1-B39)*B37+B39*B38</f>
        <v>500</v>
      </c>
      <c r="C40" s="57" t="n"/>
      <c r="D40" s="57" t="n"/>
      <c r="E40" s="60" t="inlineStr">
        <is>
          <t>Used for membership revenue in every case.</t>
        </is>
      </c>
    </row>
    <row r="41" ht="16" customHeight="1">
      <c r="A41" s="14" t="inlineStr">
        <is>
          <t>Net value per member a year, from year two</t>
        </is>
      </c>
      <c r="B41" s="62">
        <f>(1-B39)*SUMPRODUCT(B35:D35,B36:D36)+B39*B38</f>
        <v>607</v>
      </c>
      <c r="C41" s="36" t="n"/>
      <c r="D41" s="36" t="n"/>
      <c r="E41" s="32" t="inlineStr">
        <is>
          <t>Reference only: at Apple's second-year rate.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DCEAE0"/>
    <outlinePr summaryBelow="1" summaryRight="1"/>
    <pageSetUpPr fitToPage="1"/>
  </sheetPr>
  <dimension ref="A1:E3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6" customWidth="1" min="4" max="4"/>
    <col width="70" customWidth="1" min="5" max="5"/>
  </cols>
  <sheetData>
    <row r="1" ht="24" customHeight="1">
      <c r="A1" s="22" t="inlineStr">
        <is>
          <t>Year-one budget (AED)</t>
        </is>
      </c>
    </row>
    <row r="2">
      <c r="A2" s="21" t="inlineStr">
        <is>
          <t>Jon's July 2026 plan. The lines are inputs on the Assumptions sheet; this sheet adds them up.</t>
        </is>
      </c>
    </row>
    <row r="3"/>
    <row r="4" ht="16" customHeight="1">
      <c r="A4" s="9" t="inlineStr">
        <is>
          <t>Line</t>
        </is>
      </c>
      <c r="B4" s="11" t="inlineStr">
        <is>
          <t>AED a year</t>
        </is>
      </c>
      <c r="C4" s="11" t="inlineStr">
        <is>
          <t>Share of total</t>
        </is>
      </c>
      <c r="D4" s="11" t="inlineStr">
        <is>
          <t>AED a month</t>
        </is>
      </c>
      <c r="E4" s="10" t="inlineStr">
        <is>
          <t>Note</t>
        </is>
      </c>
    </row>
    <row r="5">
      <c r="A5" s="74" t="inlineStr">
        <is>
          <t>Technical</t>
        </is>
      </c>
    </row>
    <row r="6">
      <c r="A6" s="25" t="inlineStr">
        <is>
          <t>Server cloud services</t>
        </is>
      </c>
      <c r="B6" s="75">
        <f>Bud_Servers</f>
        <v>100000</v>
      </c>
      <c r="C6" s="76">
        <f>B6/Budget_Total</f>
        <v>0.0216450216450216</v>
      </c>
      <c r="D6" s="65">
        <f>B6/Months_Year</f>
        <v>8333.33333333333</v>
      </c>
    </row>
    <row r="7" ht="16" customHeight="1">
      <c r="A7" s="29" t="inlineStr">
        <is>
          <t>Outsourced call centre</t>
        </is>
      </c>
      <c r="B7" s="69">
        <f>Bud_CallCentre</f>
        <v>140000</v>
      </c>
      <c r="C7" s="77">
        <f>B7/Budget_Total</f>
        <v>0.0303030303030303</v>
      </c>
      <c r="D7" s="64">
        <f>B7/Months_Year</f>
        <v>11666.6666666667</v>
      </c>
      <c r="E7" s="32" t="inlineStr">
        <is>
          <t>Today pays for the 24/7 operations desk. Sized on the Delivery team sheet.</t>
        </is>
      </c>
    </row>
    <row r="8" ht="16" customHeight="1">
      <c r="A8" s="25" t="inlineStr">
        <is>
          <t>Outsourced tech support</t>
        </is>
      </c>
      <c r="B8" s="75">
        <f>Bud_TechSupport</f>
        <v>600000</v>
      </c>
      <c r="C8" s="76">
        <f>B8/Budget_Total</f>
        <v>0.12987012987013</v>
      </c>
      <c r="D8" s="65">
        <f>B8/Months_Year</f>
        <v>50000</v>
      </c>
      <c r="E8" s="28" t="inlineStr">
        <is>
          <t>Mapped to people on the Delivery team sheet.</t>
        </is>
      </c>
    </row>
    <row r="9">
      <c r="A9" s="29" t="inlineStr">
        <is>
          <t>Equipment</t>
        </is>
      </c>
      <c r="B9" s="69">
        <f>Bud_Equipment</f>
        <v>100000</v>
      </c>
      <c r="C9" s="77">
        <f>B9/Budget_Total</f>
        <v>0.0216450216450216</v>
      </c>
      <c r="D9" s="64">
        <f>B9/Months_Year</f>
        <v>8333.33333333333</v>
      </c>
      <c r="E9" s="36" t="n"/>
    </row>
    <row r="10">
      <c r="A10" s="25" t="inlineStr">
        <is>
          <t>Services and licences</t>
        </is>
      </c>
      <c r="B10" s="75">
        <f>Bud_Licences</f>
        <v>160000</v>
      </c>
      <c r="C10" s="76">
        <f>B10/Budget_Total</f>
        <v>0.0346320346320346</v>
      </c>
      <c r="D10" s="65">
        <f>B10/Months_Year</f>
        <v>13333.3333333333</v>
      </c>
    </row>
    <row r="11">
      <c r="A11" s="29" t="inlineStr">
        <is>
          <t>Contingency</t>
        </is>
      </c>
      <c r="B11" s="69">
        <f>Bud_TechCont</f>
        <v>100000</v>
      </c>
      <c r="C11" s="77">
        <f>B11/Budget_Total</f>
        <v>0.0216450216450216</v>
      </c>
      <c r="D11" s="64">
        <f>B11/Months_Year</f>
        <v>8333.33333333333</v>
      </c>
      <c r="E11" s="36" t="n"/>
    </row>
    <row r="12">
      <c r="A12" s="17" t="inlineStr">
        <is>
          <t>Technical total</t>
        </is>
      </c>
      <c r="B12" s="68">
        <f>SUM(B6:B11)</f>
        <v>1200000</v>
      </c>
      <c r="C12" s="78">
        <f>B12/Budget_Total</f>
        <v>0.25974025974026</v>
      </c>
      <c r="D12" s="68">
        <f>B12/Months_Year</f>
        <v>100000</v>
      </c>
      <c r="E12" s="57" t="n"/>
    </row>
    <row r="13"/>
    <row r="14">
      <c r="A14" s="74" t="inlineStr">
        <is>
          <t>Marketing</t>
        </is>
      </c>
    </row>
    <row r="15" ht="16" customHeight="1">
      <c r="A15" s="25" t="inlineStr">
        <is>
          <t>Helios AI Agency</t>
        </is>
      </c>
      <c r="B15" s="75">
        <f>Bud_Helios</f>
        <v>480000</v>
      </c>
      <c r="C15" s="76">
        <f>B15/Budget_Total</f>
        <v>0.103896103896104</v>
      </c>
      <c r="D15" s="65">
        <f>B15/Months_Year</f>
        <v>40000</v>
      </c>
      <c r="E15" s="28" t="inlineStr">
        <is>
          <t>An agency on contract that may take on marketing work.</t>
        </is>
      </c>
    </row>
    <row r="16">
      <c r="A16" s="29" t="inlineStr">
        <is>
          <t>Social media ads</t>
        </is>
      </c>
      <c r="B16" s="69">
        <f>Bud_Social</f>
        <v>480000</v>
      </c>
      <c r="C16" s="77">
        <f>B16/Budget_Total</f>
        <v>0.103896103896104</v>
      </c>
      <c r="D16" s="64">
        <f>B16/Months_Year</f>
        <v>40000</v>
      </c>
      <c r="E16" s="36" t="n"/>
    </row>
    <row r="17">
      <c r="A17" s="25" t="inlineStr">
        <is>
          <t>Public relations</t>
        </is>
      </c>
      <c r="B17" s="75">
        <f>Bud_PR</f>
        <v>480000</v>
      </c>
      <c r="C17" s="76">
        <f>B17/Budget_Total</f>
        <v>0.103896103896104</v>
      </c>
      <c r="D17" s="65">
        <f>B17/Months_Year</f>
        <v>40000</v>
      </c>
    </row>
    <row r="18">
      <c r="A18" s="29" t="inlineStr">
        <is>
          <t>Contingency</t>
        </is>
      </c>
      <c r="B18" s="69">
        <f>Bud_MktCont</f>
        <v>100000</v>
      </c>
      <c r="C18" s="77">
        <f>B18/Budget_Total</f>
        <v>0.0216450216450216</v>
      </c>
      <c r="D18" s="64">
        <f>B18/Months_Year</f>
        <v>8333.33333333333</v>
      </c>
      <c r="E18" s="36" t="n"/>
    </row>
    <row r="19">
      <c r="A19" s="17" t="inlineStr">
        <is>
          <t>Marketing total</t>
        </is>
      </c>
      <c r="B19" s="68">
        <f>SUM(B15:B18)</f>
        <v>1540000</v>
      </c>
      <c r="C19" s="78">
        <f>B19/Budget_Total</f>
        <v>0.333333333333333</v>
      </c>
      <c r="D19" s="68">
        <f>B19/Months_Year</f>
        <v>128333.333333333</v>
      </c>
      <c r="E19" s="57" t="n"/>
    </row>
    <row r="20"/>
    <row r="21">
      <c r="A21" s="74" t="inlineStr">
        <is>
          <t>Administration</t>
        </is>
      </c>
    </row>
    <row r="22">
      <c r="A22" s="25" t="inlineStr">
        <is>
          <t>Personnel (accounts, tech, B2B)</t>
        </is>
      </c>
      <c r="B22" s="75">
        <f>Bud_Personnel</f>
        <v>600000</v>
      </c>
      <c r="C22" s="76">
        <f>B22/Budget_Total</f>
        <v>0.12987012987013</v>
      </c>
      <c r="D22" s="65">
        <f>B22/Months_Year</f>
        <v>50000</v>
      </c>
    </row>
    <row r="23">
      <c r="A23" s="29" t="inlineStr">
        <is>
          <t>Office</t>
        </is>
      </c>
      <c r="B23" s="69">
        <f>Bud_Office</f>
        <v>500000</v>
      </c>
      <c r="C23" s="77">
        <f>B23/Budget_Total</f>
        <v>0.108225108225108</v>
      </c>
      <c r="D23" s="64">
        <f>B23/Months_Year</f>
        <v>41666.6666666667</v>
      </c>
      <c r="E23" s="36" t="n"/>
    </row>
    <row r="24">
      <c r="A24" s="25" t="inlineStr">
        <is>
          <t>D&amp;O and PI insurance</t>
        </is>
      </c>
      <c r="B24" s="75">
        <f>Bud_DOPI</f>
        <v>100000</v>
      </c>
      <c r="C24" s="76">
        <f>B24/Budget_Total</f>
        <v>0.0216450216450216</v>
      </c>
      <c r="D24" s="65">
        <f>B24/Months_Year</f>
        <v>8333.33333333333</v>
      </c>
    </row>
    <row r="25" ht="16" customHeight="1">
      <c r="A25" s="29" t="inlineStr">
        <is>
          <t>Board fees</t>
        </is>
      </c>
      <c r="B25" s="64">
        <f>Board_Fee*Board_Members*Board_Months</f>
        <v>480000</v>
      </c>
      <c r="C25" s="77">
        <f>B25/Budget_Total</f>
        <v>0.103896103896104</v>
      </c>
      <c r="D25" s="64">
        <f>B25/Months_Year</f>
        <v>40000</v>
      </c>
      <c r="E25" s="32" t="inlineStr">
        <is>
          <t>Fee a month × board members × months (Assumptions sheet).</t>
        </is>
      </c>
    </row>
    <row r="26">
      <c r="A26" s="25" t="inlineStr">
        <is>
          <t>Contingency</t>
        </is>
      </c>
      <c r="B26" s="75">
        <f>Bud_AdmCont</f>
        <v>200000</v>
      </c>
      <c r="C26" s="76">
        <f>B26/Budget_Total</f>
        <v>0.0432900432900433</v>
      </c>
      <c r="D26" s="65">
        <f>B26/Months_Year</f>
        <v>16666.6666666667</v>
      </c>
    </row>
    <row r="27">
      <c r="A27" s="17" t="inlineStr">
        <is>
          <t>Administration total</t>
        </is>
      </c>
      <c r="B27" s="68">
        <f>SUM(B22:B26)</f>
        <v>1880000</v>
      </c>
      <c r="C27" s="78">
        <f>B27/Budget_Total</f>
        <v>0.406926406926407</v>
      </c>
      <c r="D27" s="68">
        <f>B27/Months_Year</f>
        <v>156666.666666667</v>
      </c>
      <c r="E27" s="57" t="n"/>
    </row>
    <row r="28"/>
    <row r="29" ht="16" customHeight="1">
      <c r="A29" s="79" t="inlineStr">
        <is>
          <t>Year-one budget</t>
        </is>
      </c>
      <c r="B29" s="80">
        <f>B12+B19+B27</f>
        <v>4620000</v>
      </c>
      <c r="C29" s="81">
        <f>B29/Budget_Total</f>
        <v>1</v>
      </c>
      <c r="D29" s="80">
        <f>B29/Months_Year</f>
        <v>385000</v>
      </c>
      <c r="E29" s="82" t="inlineStr">
        <is>
          <t>AED a month is the monthly burn used on the Runway sheet.</t>
        </is>
      </c>
    </row>
    <row r="30" ht="29" customHeight="1">
      <c r="A30" s="25" t="inlineStr">
        <is>
          <t>Of which contingency lines</t>
        </is>
      </c>
      <c r="B30" s="65">
        <f>B11+B18+B26</f>
        <v>400000</v>
      </c>
      <c r="C30" s="76">
        <f>B30/Budget_Total</f>
        <v>0.0865800865800866</v>
      </c>
      <c r="D30" s="65">
        <f>B30/Months_Year</f>
        <v>33333.3333333333</v>
      </c>
      <c r="E30" s="28" t="inlineStr">
        <is>
          <t>Inside the budget, and separate from the contingency in the raise (Runway sheet).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DCEAE0"/>
    <outlinePr summaryBelow="1" summaryRight="1"/>
    <pageSetUpPr fitToPage="1"/>
  </sheetPr>
  <dimension ref="A1:I52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3" customWidth="1" min="3" max="3"/>
    <col width="12" customWidth="1" min="4" max="4"/>
    <col width="12" customWidth="1" min="5" max="5"/>
    <col width="13" customWidth="1" min="6" max="6"/>
    <col width="14" customWidth="1" min="7" max="7"/>
    <col width="14" customWidth="1" min="8" max="8"/>
    <col width="58" customWidth="1" min="9" max="9"/>
  </cols>
  <sheetData>
    <row r="1" ht="24" customHeight="1">
      <c r="A1" s="22" t="inlineStr">
        <is>
          <t>Delivery team: how the Outsourced tech support line maps to people</t>
        </is>
      </c>
    </row>
    <row r="2">
      <c r="A2" s="21" t="inlineStr">
        <is>
          <t>Inputs are on the Assumptions sheet. EUR are converted to AED at the ECB rate of 1 October 2026 through the AED peg.</t>
        </is>
      </c>
    </row>
    <row r="3"/>
    <row r="4" ht="20" customHeight="1">
      <c r="A4" s="52" t="inlineStr">
        <is>
          <t>Exchange rates</t>
        </is>
      </c>
    </row>
    <row r="5">
      <c r="A5" s="12" t="inlineStr">
        <is>
          <t>USD per EUR (ECB, 1 October 2026)</t>
        </is>
      </c>
      <c r="B5" s="83">
        <f>USD_per_EUR</f>
        <v>1.1298</v>
      </c>
    </row>
    <row r="6">
      <c r="A6" s="14" t="inlineStr">
        <is>
          <t>AED per USD (peg)</t>
        </is>
      </c>
      <c r="B6" s="84">
        <f>AED_per_USD</f>
        <v>3.6725</v>
      </c>
      <c r="C6" s="36" t="n"/>
      <c r="D6" s="36" t="n"/>
      <c r="E6" s="36" t="n"/>
      <c r="F6" s="36" t="n"/>
      <c r="G6" s="36" t="n"/>
      <c r="H6" s="36" t="n"/>
      <c r="I6" s="36" t="n"/>
    </row>
    <row r="7">
      <c r="A7" s="12" t="inlineStr">
        <is>
          <t>AED per EUR</t>
        </is>
      </c>
      <c r="B7" s="85">
        <f>AED_per_EUR</f>
        <v>4.1491905</v>
      </c>
    </row>
    <row r="8">
      <c r="A8" s="14" t="inlineStr">
        <is>
          <t>AED per GBP (reference)</t>
        </is>
      </c>
      <c r="B8" s="86">
        <f>AED_per_GBP</f>
        <v>4.86</v>
      </c>
      <c r="C8" s="36" t="n"/>
      <c r="D8" s="36" t="n"/>
      <c r="E8" s="36" t="n"/>
      <c r="F8" s="36" t="n"/>
      <c r="G8" s="36" t="n"/>
      <c r="H8" s="36" t="n"/>
      <c r="I8" s="36" t="n"/>
    </row>
    <row r="9"/>
    <row r="10" ht="20" customHeight="1">
      <c r="A10" s="52" t="inlineStr">
        <is>
          <t>1. Stevan's basis</t>
        </is>
      </c>
    </row>
    <row r="11">
      <c r="A11" s="87" t="inlineStr">
        <is>
          <t>"I said 600 divided by three... for three people, and I assumed it's going to cost like Eastern European rates of say about 40,000 euros annually." Stevan Litobac, COO</t>
        </is>
      </c>
    </row>
    <row r="12">
      <c r="A12" s="12" t="inlineStr">
        <is>
          <t>People on the line</t>
        </is>
      </c>
      <c r="B12" s="61">
        <f>Basis_People</f>
        <v>3</v>
      </c>
      <c r="C12" s="27" t="inlineStr">
        <is>
          <t>people</t>
        </is>
      </c>
    </row>
    <row r="13">
      <c r="A13" s="14" t="inlineStr">
        <is>
          <t>Annual cost of one person</t>
        </is>
      </c>
      <c r="B13" s="88">
        <f>Rate_EUR</f>
        <v>40000</v>
      </c>
      <c r="C13" s="31" t="inlineStr">
        <is>
          <t>EUR a year</t>
        </is>
      </c>
      <c r="D13" s="36" t="n"/>
      <c r="E13" s="36" t="n"/>
      <c r="F13" s="36" t="n"/>
      <c r="G13" s="36" t="n"/>
      <c r="H13" s="36" t="n"/>
      <c r="I13" s="36" t="n"/>
    </row>
    <row r="14" ht="29" customHeight="1">
      <c r="A14" s="9" t="inlineStr">
        <is>
          <t>Stevan's basis</t>
        </is>
      </c>
      <c r="B14" s="11" t="inlineStr">
        <is>
          <t>EUR a year</t>
        </is>
      </c>
      <c r="C14" s="11" t="inlineStr">
        <is>
          <t>AED a year</t>
        </is>
      </c>
      <c r="D14" s="11" t="inlineStr">
        <is>
          <t>GBP a year (reference)</t>
        </is>
      </c>
      <c r="E14" s="10" t="inlineStr">
        <is>
          <t>Note</t>
        </is>
      </c>
      <c r="F14" s="11" t="n"/>
      <c r="G14" s="11" t="n"/>
      <c r="H14" s="11" t="n"/>
      <c r="I14" s="11" t="n"/>
    </row>
    <row r="15">
      <c r="A15" s="12" t="inlineStr">
        <is>
          <t>Cost of the people</t>
        </is>
      </c>
      <c r="B15" s="65">
        <f>B12*B13</f>
        <v>120000</v>
      </c>
      <c r="C15" s="65">
        <f>B15*AED_per_EUR</f>
        <v>497902.86</v>
      </c>
      <c r="D15" s="65">
        <f>C15/AED_per_GBP</f>
        <v>102449.148148148</v>
      </c>
      <c r="E15" s="27" t="inlineStr">
        <is>
          <t>People × annual cost of one person.</t>
        </is>
      </c>
    </row>
    <row r="16">
      <c r="A16" s="14" t="inlineStr">
        <is>
          <t>Outsourced tech support line</t>
        </is>
      </c>
      <c r="B16" s="64">
        <f>C16/AED_per_EUR</f>
        <v>144606.520235694</v>
      </c>
      <c r="C16" s="69">
        <f>Bud_TechSupport</f>
        <v>600000</v>
      </c>
      <c r="D16" s="64">
        <f>C16/AED_per_GBP</f>
        <v>123456.790123457</v>
      </c>
      <c r="E16" s="31" t="inlineStr">
        <is>
          <t>Budget line (Assumptions sheet).</t>
        </is>
      </c>
      <c r="F16" s="36" t="n"/>
      <c r="G16" s="36" t="n"/>
      <c r="H16" s="36" t="n"/>
      <c r="I16" s="36" t="n"/>
    </row>
    <row r="17">
      <c r="A17" s="6" t="inlineStr">
        <is>
          <t>Headroom left in the line</t>
        </is>
      </c>
      <c r="B17" s="63">
        <f>B16-B15</f>
        <v>24606.5202356942</v>
      </c>
      <c r="C17" s="63">
        <f>C16-C15</f>
        <v>102097.14</v>
      </c>
      <c r="D17" s="63">
        <f>C17/AED_per_GBP</f>
        <v>21007.6419753087</v>
      </c>
      <c r="E17" s="27" t="inlineStr">
        <is>
          <t>The line less the cost of the people.</t>
        </is>
      </c>
    </row>
    <row r="18">
      <c r="A18" s="14" t="inlineStr">
        <is>
          <t>Cost per person if the whole line went on them</t>
        </is>
      </c>
      <c r="B18" s="64">
        <f>C18/AED_per_EUR</f>
        <v>48202.1734118981</v>
      </c>
      <c r="C18" s="64">
        <f>IF(B12=0,0,C16/B12)</f>
        <v>200000</v>
      </c>
      <c r="D18" s="64">
        <f>C18/AED_per_GBP</f>
        <v>41152.2633744856</v>
      </c>
      <c r="E18" s="31" t="inlineStr">
        <is>
          <t>The line ÷ people: the most each person could cost.</t>
        </is>
      </c>
      <c r="F18" s="36" t="n"/>
      <c r="G18" s="36" t="n"/>
      <c r="H18" s="36" t="n"/>
      <c r="I18" s="36" t="n"/>
    </row>
    <row r="19"/>
    <row r="20" ht="20" customHeight="1">
      <c r="A20" s="52" t="inlineStr">
        <is>
          <t>2. The plan's delivery team</t>
        </is>
      </c>
    </row>
    <row r="21" ht="29" customHeight="1">
      <c r="A21" s="9" t="inlineStr">
        <is>
          <t>Role</t>
        </is>
      </c>
      <c r="B21" s="11" t="inlineStr">
        <is>
          <t>Priority tier</t>
        </is>
      </c>
      <c r="C21" s="11" t="inlineStr">
        <is>
          <t>Hours a month</t>
        </is>
      </c>
      <c r="D21" s="11" t="inlineStr">
        <is>
          <t>FTE</t>
        </is>
      </c>
      <c r="E21" s="11" t="inlineStr">
        <is>
          <t>Months active</t>
        </is>
      </c>
      <c r="F21" s="11" t="inlineStr">
        <is>
          <t>Average FTE over the year</t>
        </is>
      </c>
      <c r="G21" s="11" t="inlineStr">
        <is>
          <t>EUR a year</t>
        </is>
      </c>
      <c r="H21" s="11" t="inlineStr">
        <is>
          <t>AED a year</t>
        </is>
      </c>
      <c r="I21" s="10" t="inlineStr">
        <is>
          <t>Covers</t>
        </is>
      </c>
    </row>
    <row r="22" ht="16" customHeight="1">
      <c r="A22" s="12" t="inlineStr">
        <is>
          <t>Lead engineer (full-stack, uses AI tools heavily)</t>
        </is>
      </c>
      <c r="B22" s="89">
        <f>Assumptions!D70</f>
        <v>1</v>
      </c>
      <c r="C22" s="61">
        <f>Assumptions!B70</f>
        <v>160</v>
      </c>
      <c r="D22" s="90">
        <f>C22/Hours_FTE</f>
        <v>1</v>
      </c>
      <c r="E22" s="91">
        <f>Assumptions!C70</f>
        <v>12</v>
      </c>
      <c r="F22" s="90">
        <f>D22*E22/Months_Year</f>
        <v>1</v>
      </c>
      <c r="G22" s="53">
        <f>F22*Rate_EUR</f>
        <v>40000</v>
      </c>
      <c r="H22" s="53">
        <f>G22*AED_per_EUR</f>
        <v>165967.62</v>
      </c>
      <c r="I22" s="28" t="inlineStr">
        <is>
          <t>App and watch, server, database, operations console and releases.</t>
        </is>
      </c>
    </row>
    <row r="23" ht="16" customHeight="1">
      <c r="A23" s="14" t="inlineStr">
        <is>
          <t>Backup engineer</t>
        </is>
      </c>
      <c r="B23" s="92">
        <f>Assumptions!D71</f>
        <v>1</v>
      </c>
      <c r="C23" s="88">
        <f>Assumptions!B71</f>
        <v>40</v>
      </c>
      <c r="D23" s="93">
        <f>C23/Hours_FTE</f>
        <v>0.25</v>
      </c>
      <c r="E23" s="94">
        <f>Assumptions!C71</f>
        <v>12</v>
      </c>
      <c r="F23" s="93">
        <f>D23*E23/Months_Year</f>
        <v>0.25</v>
      </c>
      <c r="G23" s="71">
        <f>F23*Rate_EUR</f>
        <v>10000</v>
      </c>
      <c r="H23" s="71">
        <f>G23*AED_per_EUR</f>
        <v>41491.905</v>
      </c>
      <c r="I23" s="32" t="inlineStr">
        <is>
          <t>Cover for the lead; on call.</t>
        </is>
      </c>
    </row>
    <row r="24" ht="16" customHeight="1">
      <c r="A24" s="12" t="inlineStr">
        <is>
          <t>DevOps</t>
        </is>
      </c>
      <c r="B24" s="89">
        <f>Assumptions!D72</f>
        <v>2</v>
      </c>
      <c r="C24" s="61">
        <f>Assumptions!B72</f>
        <v>25</v>
      </c>
      <c r="D24" s="90">
        <f>C24/Hours_FTE</f>
        <v>0.15625</v>
      </c>
      <c r="E24" s="91">
        <f>Assumptions!C72</f>
        <v>12</v>
      </c>
      <c r="F24" s="90">
        <f>D24*E24/Months_Year</f>
        <v>0.15625</v>
      </c>
      <c r="G24" s="53">
        <f>F24*Rate_EUR</f>
        <v>6250</v>
      </c>
      <c r="H24" s="53">
        <f>G24*AED_per_EUR</f>
        <v>25932.440625</v>
      </c>
      <c r="I24" s="28" t="inlineStr">
        <is>
          <t>Monitoring, alerts, backups and deploys.</t>
        </is>
      </c>
    </row>
    <row r="25" ht="16" customHeight="1">
      <c r="A25" s="14" t="inlineStr">
        <is>
          <t>UI designer, steady months</t>
        </is>
      </c>
      <c r="B25" s="92">
        <f>Assumptions!D73</f>
        <v>1</v>
      </c>
      <c r="C25" s="88">
        <f>Assumptions!B73</f>
        <v>25</v>
      </c>
      <c r="D25" s="93">
        <f>C25/Hours_FTE</f>
        <v>0.15625</v>
      </c>
      <c r="E25" s="94">
        <f>Assumptions!C73</f>
        <v>10</v>
      </c>
      <c r="F25" s="93">
        <f>D25*E25/Months_Year</f>
        <v>0.130208333333333</v>
      </c>
      <c r="G25" s="71">
        <f>F25*Rate_EUR</f>
        <v>5208.33333333333</v>
      </c>
      <c r="H25" s="71">
        <f>G25*AED_per_EUR</f>
        <v>21610.3671875</v>
      </c>
      <c r="I25" s="32" t="inlineStr">
        <is>
          <t>App screens and marketing design.</t>
        </is>
      </c>
    </row>
    <row r="26" ht="16" customHeight="1">
      <c r="A26" s="12" t="inlineStr">
        <is>
          <t>UI designer, launch months</t>
        </is>
      </c>
      <c r="B26" s="89">
        <f>Assumptions!D74</f>
        <v>1</v>
      </c>
      <c r="C26" s="61">
        <f>Assumptions!B74</f>
        <v>60</v>
      </c>
      <c r="D26" s="90">
        <f>C26/Hours_FTE</f>
        <v>0.375</v>
      </c>
      <c r="E26" s="91">
        <f>Assumptions!C74</f>
        <v>2</v>
      </c>
      <c r="F26" s="90">
        <f>D26*E26/Months_Year</f>
        <v>0.0625</v>
      </c>
      <c r="G26" s="53">
        <f>F26*Rate_EUR</f>
        <v>2500</v>
      </c>
      <c r="H26" s="53">
        <f>G26*AED_per_EUR</f>
        <v>10372.97625</v>
      </c>
      <c r="I26" s="28" t="inlineStr">
        <is>
          <t>Extra design hours around launch.</t>
        </is>
      </c>
    </row>
    <row r="27" ht="16" customHeight="1">
      <c r="A27" s="14" t="inlineStr">
        <is>
          <t>Project coordination</t>
        </is>
      </c>
      <c r="B27" s="92">
        <f>Assumptions!D75</f>
        <v>2</v>
      </c>
      <c r="C27" s="88">
        <f>Assumptions!B75</f>
        <v>15</v>
      </c>
      <c r="D27" s="93">
        <f>C27/Hours_FTE</f>
        <v>0.09375</v>
      </c>
      <c r="E27" s="94">
        <f>Assumptions!C75</f>
        <v>12</v>
      </c>
      <c r="F27" s="93">
        <f>D27*E27/Months_Year</f>
        <v>0.09375</v>
      </c>
      <c r="G27" s="71">
        <f>F27*Rate_EUR</f>
        <v>3750</v>
      </c>
      <c r="H27" s="71">
        <f>G27*AED_per_EUR</f>
        <v>15559.464375</v>
      </c>
      <c r="I27" s="32" t="inlineStr">
        <is>
          <t>Planning; keeping documentation current.</t>
        </is>
      </c>
    </row>
    <row r="28" ht="29" customHeight="1">
      <c r="A28" s="12" t="inlineStr">
        <is>
          <t>Second full-time engineer</t>
        </is>
      </c>
      <c r="B28" s="89">
        <f>Assumptions!D76</f>
        <v>2</v>
      </c>
      <c r="C28" s="61">
        <f>Assumptions!B76</f>
        <v>160</v>
      </c>
      <c r="D28" s="90">
        <f>C28/Hours_FTE</f>
        <v>1</v>
      </c>
      <c r="E28" s="91">
        <f>Assumptions!C76</f>
        <v>9</v>
      </c>
      <c r="F28" s="90">
        <f>D28*E28/Months_Year</f>
        <v>0.75</v>
      </c>
      <c r="G28" s="53">
        <f>F28*Rate_EUR</f>
        <v>30000</v>
      </c>
      <c r="H28" s="53">
        <f>G28*AED_per_EUR</f>
        <v>124475.715</v>
      </c>
      <c r="I28" s="28" t="inlineStr">
        <is>
          <t>Starts on a trigger: 90 days after soft launch, about 2,000 members, or two months above 120% of planned hours.</t>
        </is>
      </c>
    </row>
    <row r="29">
      <c r="A29" s="17" t="inlineStr">
        <is>
          <t>Team without the second engineer</t>
        </is>
      </c>
      <c r="B29" s="57" t="n"/>
      <c r="C29" s="57" t="n"/>
      <c r="D29" s="57" t="n"/>
      <c r="E29" s="57" t="n"/>
      <c r="F29" s="95">
        <f>SUM(F22:F27)</f>
        <v>1.69270833333333</v>
      </c>
      <c r="G29" s="68">
        <f>SUM(G22:G27)</f>
        <v>67708.3333333333</v>
      </c>
      <c r="H29" s="68">
        <f>SUM(H22:H27)</f>
        <v>280934.7734375</v>
      </c>
      <c r="I29" s="57" t="n"/>
    </row>
    <row r="30" ht="16" customHeight="1">
      <c r="A30" s="12" t="inlineStr">
        <is>
          <t>Second full-time engineer</t>
        </is>
      </c>
      <c r="F30" s="90">
        <f>F28</f>
        <v>0.75</v>
      </c>
      <c r="G30" s="65">
        <f>G28</f>
        <v>30000</v>
      </c>
      <c r="H30" s="65">
        <f>H28</f>
        <v>124475.715</v>
      </c>
      <c r="I30" s="28" t="inlineStr">
        <is>
          <t>From the start month on the Assumptions sheet.</t>
        </is>
      </c>
    </row>
    <row r="31">
      <c r="A31" s="17" t="inlineStr">
        <is>
          <t>Team with the second engineer</t>
        </is>
      </c>
      <c r="B31" s="57" t="n"/>
      <c r="C31" s="57" t="n"/>
      <c r="D31" s="57" t="n"/>
      <c r="E31" s="57" t="n"/>
      <c r="F31" s="95">
        <f>F29+F30</f>
        <v>2.44270833333333</v>
      </c>
      <c r="G31" s="68">
        <f>G29+G30</f>
        <v>97708.3333333333</v>
      </c>
      <c r="H31" s="68">
        <f>H29+H30</f>
        <v>405410.4884375</v>
      </c>
      <c r="I31" s="57" t="n"/>
    </row>
    <row r="32" ht="16" customHeight="1">
      <c r="A32" s="14" t="inlineStr">
        <is>
          <t>Outsourced tech support line</t>
        </is>
      </c>
      <c r="B32" s="36" t="n"/>
      <c r="C32" s="36" t="n"/>
      <c r="D32" s="36" t="n"/>
      <c r="E32" s="36" t="n"/>
      <c r="F32" s="36" t="n"/>
      <c r="G32" s="64">
        <f>H32/AED_per_EUR</f>
        <v>144606.520235694</v>
      </c>
      <c r="H32" s="69">
        <f>Bud_TechSupport</f>
        <v>600000</v>
      </c>
      <c r="I32" s="32" t="inlineStr">
        <is>
          <t>Budget line (Assumptions sheet).</t>
        </is>
      </c>
    </row>
    <row r="33" ht="16" customHeight="1">
      <c r="A33" s="6" t="inlineStr">
        <is>
          <t>Headroom: the line less the team without the second engineer</t>
        </is>
      </c>
      <c r="G33" s="63">
        <f>G32-G29</f>
        <v>76898.1869023609</v>
      </c>
      <c r="H33" s="63">
        <f>H32-H29</f>
        <v>319065.2265625</v>
      </c>
      <c r="I33" s="28" t="inlineStr">
        <is>
          <t>Positive: room left in the line. Negative: over it.</t>
        </is>
      </c>
    </row>
    <row r="34">
      <c r="A34" s="66" t="inlineStr">
        <is>
          <t>Headroom: the line less the team with the second engineer</t>
        </is>
      </c>
      <c r="B34" s="36" t="n"/>
      <c r="C34" s="36" t="n"/>
      <c r="D34" s="36" t="n"/>
      <c r="E34" s="36" t="n"/>
      <c r="F34" s="36" t="n"/>
      <c r="G34" s="67">
        <f>G32-G31</f>
        <v>46898.1869023609</v>
      </c>
      <c r="H34" s="67">
        <f>H32-H31</f>
        <v>194589.5115625</v>
      </c>
      <c r="I34" s="36" t="n"/>
    </row>
    <row r="35">
      <c r="A35" s="12" t="inlineStr">
        <is>
          <t>Priority tier 1 roles</t>
        </is>
      </c>
      <c r="F35" s="90">
        <f>SUMIF($B$22:$B$28,1,F22:F28)</f>
        <v>1.44270833333333</v>
      </c>
      <c r="G35" s="65">
        <f>SUMIF($B$22:$B$28,1,G22:G28)</f>
        <v>57708.3333333333</v>
      </c>
      <c r="H35" s="65">
        <f>SUMIF($B$22:$B$28,1,H22:H28)</f>
        <v>239442.8684375</v>
      </c>
    </row>
    <row r="36" ht="16" customHeight="1">
      <c r="A36" s="14" t="inlineStr">
        <is>
          <t>Priority tier 2 roles</t>
        </is>
      </c>
      <c r="B36" s="36" t="n"/>
      <c r="C36" s="36" t="n"/>
      <c r="D36" s="36" t="n"/>
      <c r="E36" s="36" t="n"/>
      <c r="F36" s="93">
        <f>SUMIF($B$22:$B$28,2,F22:F28)</f>
        <v>1</v>
      </c>
      <c r="G36" s="64">
        <f>SUMIF($B$22:$B$28,2,G22:G28)</f>
        <v>40000</v>
      </c>
      <c r="H36" s="64">
        <f>SUMIF($B$22:$B$28,2,H22:H28)</f>
        <v>165967.62</v>
      </c>
      <c r="I36" s="32" t="inlineStr">
        <is>
          <t>Tier 1 plus tier 2 equals the team with the second engineer.</t>
        </is>
      </c>
    </row>
    <row r="37">
      <c r="A37" s="21" t="inlineStr">
        <is>
          <t>FTE = hours a month ÷ hours in one full-time month. Cost = FTE × months active ÷ 12 × annual cost of one full-time person × AED per EUR.</t>
        </is>
      </c>
    </row>
    <row r="38"/>
    <row r="39" ht="20" customHeight="1">
      <c r="A39" s="52" t="inlineStr">
        <is>
          <t>3. 24/7 operations desk: a sizing aid, not a quote</t>
        </is>
      </c>
    </row>
    <row r="40">
      <c r="A40" s="21" t="inlineStr">
        <is>
          <t>Separate from the tech team. Today this is the Outsourced call centre line. The agent cost is a placeholder until a provider quotes.</t>
        </is>
      </c>
    </row>
    <row r="41" ht="16" customHeight="1">
      <c r="A41" s="9" t="inlineStr">
        <is>
          <t>Measure</t>
        </is>
      </c>
      <c r="B41" s="11" t="inlineStr">
        <is>
          <t>Value</t>
        </is>
      </c>
      <c r="C41" s="10" t="inlineStr">
        <is>
          <t>Unit</t>
        </is>
      </c>
      <c r="D41" s="11" t="inlineStr"/>
      <c r="E41" s="10" t="inlineStr">
        <is>
          <t>Note</t>
        </is>
      </c>
      <c r="F41" s="11" t="n"/>
      <c r="G41" s="11" t="n"/>
      <c r="H41" s="11" t="n"/>
      <c r="I41" s="11" t="n"/>
    </row>
    <row r="42">
      <c r="A42" s="12" t="inlineStr">
        <is>
          <t>Hours to cover a week</t>
        </is>
      </c>
      <c r="B42" s="61">
        <f>Desk_Hours</f>
        <v>168</v>
      </c>
      <c r="C42" s="27" t="inlineStr">
        <is>
          <t>hours</t>
        </is>
      </c>
    </row>
    <row r="43">
      <c r="A43" s="14" t="inlineStr">
        <is>
          <t>Seats staffed at once</t>
        </is>
      </c>
      <c r="B43" s="88">
        <f>Desk_Seats</f>
        <v>1</v>
      </c>
      <c r="C43" s="31" t="inlineStr">
        <is>
          <t>seats</t>
        </is>
      </c>
      <c r="D43" s="36" t="n"/>
      <c r="E43" s="36" t="n"/>
      <c r="F43" s="36" t="n"/>
      <c r="G43" s="36" t="n"/>
      <c r="H43" s="36" t="n"/>
      <c r="I43" s="36" t="n"/>
    </row>
    <row r="44">
      <c r="A44" s="12" t="inlineStr">
        <is>
          <t>Agent hours a week</t>
        </is>
      </c>
      <c r="B44" s="61">
        <f>Desk_Agent_Hours</f>
        <v>40</v>
      </c>
      <c r="C44" s="27" t="inlineStr">
        <is>
          <t>hours</t>
        </is>
      </c>
    </row>
    <row r="45">
      <c r="A45" s="14" t="inlineStr">
        <is>
          <t>Cover factor for leave and sickness</t>
        </is>
      </c>
      <c r="B45" s="86">
        <f>Desk_Cover</f>
        <v>1.2</v>
      </c>
      <c r="C45" s="31" t="inlineStr">
        <is>
          <t>×</t>
        </is>
      </c>
      <c r="D45" s="36" t="n"/>
      <c r="E45" s="36" t="n"/>
      <c r="F45" s="36" t="n"/>
      <c r="G45" s="36" t="n"/>
      <c r="H45" s="36" t="n"/>
      <c r="I45" s="36" t="n"/>
    </row>
    <row r="46">
      <c r="A46" s="6" t="inlineStr">
        <is>
          <t>Agents needed</t>
        </is>
      </c>
      <c r="B46" s="96">
        <f>IF(B44=0,0,B42*B43/B44*B45)</f>
        <v>5.04</v>
      </c>
      <c r="C46" s="27" t="inlineStr">
        <is>
          <t>full-time agents</t>
        </is>
      </c>
      <c r="E46" s="27" t="str">
        <f>"Hours to cover × seats ÷ agent hours × cover factor: about "&amp;ROUND(B46,0)&amp;" people on the rota."</f>
        <v>Hours to cover × seats ÷ agent hours × cover factor: about 5 people on the rota.</v>
      </c>
    </row>
    <row r="47">
      <c r="A47" s="14" t="inlineStr">
        <is>
          <t>Monthly cost per agent</t>
        </is>
      </c>
      <c r="B47" s="97">
        <f>Desk_Agent_Cost</f>
        <v>6000</v>
      </c>
      <c r="C47" s="31" t="inlineStr">
        <is>
          <t>AED a month</t>
        </is>
      </c>
      <c r="D47" s="36" t="n"/>
      <c r="E47" s="31" t="inlineStr">
        <is>
          <t>Placeholder, to be quoted (Assumptions sheet).</t>
        </is>
      </c>
      <c r="F47" s="36" t="n"/>
      <c r="G47" s="36" t="n"/>
      <c r="H47" s="36" t="n"/>
      <c r="I47" s="36" t="n"/>
    </row>
    <row r="48">
      <c r="A48" s="6" t="inlineStr">
        <is>
          <t>Annual cost of the desk</t>
        </is>
      </c>
      <c r="B48" s="98">
        <f>B46*B47*Months_Year</f>
        <v>362880</v>
      </c>
      <c r="C48" s="27" t="inlineStr">
        <is>
          <t>AED a year</t>
        </is>
      </c>
      <c r="E48" s="27" t="inlineStr">
        <is>
          <t>Agents needed × monthly cost × 12.</t>
        </is>
      </c>
    </row>
    <row r="49">
      <c r="A49" s="14" t="inlineStr">
        <is>
          <t>Outsourced call centre line</t>
        </is>
      </c>
      <c r="B49" s="88">
        <f>Bud_CallCentre</f>
        <v>140000</v>
      </c>
      <c r="C49" s="31" t="inlineStr">
        <is>
          <t>AED a year</t>
        </is>
      </c>
      <c r="D49" s="36" t="n"/>
      <c r="E49" s="31" t="inlineStr">
        <is>
          <t>Budget line (Assumptions sheet).</t>
        </is>
      </c>
      <c r="F49" s="36" t="n"/>
      <c r="G49" s="36" t="n"/>
      <c r="H49" s="36" t="n"/>
      <c r="I49" s="36" t="n"/>
    </row>
    <row r="50">
      <c r="A50" s="12" t="inlineStr">
        <is>
          <t>Headroom in the line</t>
        </is>
      </c>
      <c r="B50" s="65">
        <f>B49-B48</f>
        <v>-222880</v>
      </c>
      <c r="C50" s="27" t="inlineStr">
        <is>
          <t>AED a year</t>
        </is>
      </c>
      <c r="E50" s="27" t="inlineStr">
        <is>
          <t>Negative: the line is short of a dedicated desk at this cost.</t>
        </is>
      </c>
    </row>
    <row r="51">
      <c r="A51" s="14" t="inlineStr">
        <is>
          <t>Agents the line pays for, for a year</t>
        </is>
      </c>
      <c r="B51" s="93">
        <f>IF(B47=0,0,B49/(B47*Months_Year))</f>
        <v>1.94444444444444</v>
      </c>
      <c r="C51" s="31" t="inlineStr">
        <is>
          <t>full-time agents</t>
        </is>
      </c>
      <c r="D51" s="36" t="n"/>
      <c r="E51" s="36" t="n"/>
      <c r="F51" s="36" t="n"/>
      <c r="G51" s="36" t="n"/>
      <c r="H51" s="36" t="n"/>
      <c r="I51" s="36" t="n"/>
    </row>
    <row r="52">
      <c r="A52" s="12" t="inlineStr">
        <is>
          <t>Monthly cost per agent the line implies</t>
        </is>
      </c>
      <c r="B52" s="53">
        <f>IF(B46=0,0,B49/Months_Year/B46)</f>
        <v>2314.81481481482</v>
      </c>
      <c r="C52" s="27" t="inlineStr">
        <is>
          <t>AED a month</t>
        </is>
      </c>
      <c r="E52" s="27" t="inlineStr">
        <is>
          <t>What each agent could cost for the line to cover the desk. A shared outsourced desk spreads agents across clients.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DCEAE0"/>
    <outlinePr summaryBelow="1" summaryRight="1"/>
    <pageSetUpPr fitToPage="1"/>
  </sheetPr>
  <dimension ref="A1:F4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24" customWidth="1" min="5" max="5"/>
    <col width="64" customWidth="1" min="6" max="6"/>
  </cols>
  <sheetData>
    <row r="1" ht="24" customHeight="1">
      <c r="A1" s="22" t="inlineStr">
        <is>
          <t>The raise and runway</t>
        </is>
      </c>
    </row>
    <row r="2">
      <c r="A2" s="21" t="inlineStr">
        <is>
          <t>AED unless marked. The runway ignores all revenue: it is the whole raise spent at the year-one burn.</t>
        </is>
      </c>
    </row>
    <row r="3"/>
    <row r="4" ht="20" customHeight="1">
      <c r="A4" s="52" t="inlineStr">
        <is>
          <t>Use of funds</t>
        </is>
      </c>
    </row>
    <row r="5" ht="16" customHeight="1">
      <c r="A5" s="9" t="inlineStr">
        <is>
          <t>Use of funds</t>
        </is>
      </c>
      <c r="B5" s="11" t="inlineStr">
        <is>
          <t>AED</t>
        </is>
      </c>
      <c r="C5" s="11" t="inlineStr">
        <is>
          <t>USD</t>
        </is>
      </c>
      <c r="D5" s="11" t="inlineStr">
        <is>
          <t>Share of the raise</t>
        </is>
      </c>
      <c r="E5" s="10" t="inlineStr"/>
      <c r="F5" s="10" t="inlineStr">
        <is>
          <t>Note</t>
        </is>
      </c>
    </row>
    <row r="6" ht="16" customHeight="1">
      <c r="A6" s="12" t="inlineStr">
        <is>
          <t>Technical</t>
        </is>
      </c>
      <c r="B6" s="75">
        <f>Budget!B12</f>
        <v>1200000</v>
      </c>
      <c r="C6" s="65">
        <f>B6/AED_per_USD</f>
        <v>326752.893124575</v>
      </c>
      <c r="D6" s="76">
        <f>B6/$B$11</f>
        <v>0.171428571428571</v>
      </c>
      <c r="F6" s="28" t="inlineStr">
        <is>
          <t>Budget sheet.</t>
        </is>
      </c>
    </row>
    <row r="7" ht="16" customHeight="1">
      <c r="A7" s="14" t="inlineStr">
        <is>
          <t>Marketing</t>
        </is>
      </c>
      <c r="B7" s="69">
        <f>Budget!B19</f>
        <v>1540000</v>
      </c>
      <c r="C7" s="64">
        <f>B7/AED_per_USD</f>
        <v>419332.879509871</v>
      </c>
      <c r="D7" s="77">
        <f>B7/$B$11</f>
        <v>0.22</v>
      </c>
      <c r="E7" s="36" t="n"/>
      <c r="F7" s="32" t="inlineStr">
        <is>
          <t>Budget sheet.</t>
        </is>
      </c>
    </row>
    <row r="8" ht="16" customHeight="1">
      <c r="A8" s="12" t="inlineStr">
        <is>
          <t>Administration</t>
        </is>
      </c>
      <c r="B8" s="75">
        <f>Budget!B27</f>
        <v>1880000</v>
      </c>
      <c r="C8" s="65">
        <f>B8/AED_per_USD</f>
        <v>511912.865895167</v>
      </c>
      <c r="D8" s="76">
        <f>B8/$B$11</f>
        <v>0.268571428571429</v>
      </c>
      <c r="F8" s="28" t="inlineStr">
        <is>
          <t>Budget sheet.</t>
        </is>
      </c>
    </row>
    <row r="9">
      <c r="A9" s="17" t="inlineStr">
        <is>
          <t>Year-one budget</t>
        </is>
      </c>
      <c r="B9" s="68">
        <f>SUM(B6:B8)</f>
        <v>4620000</v>
      </c>
      <c r="C9" s="68">
        <f>B9/AED_per_USD</f>
        <v>1257998.63852961</v>
      </c>
      <c r="D9" s="78">
        <f>B9/$B$11</f>
        <v>0.66</v>
      </c>
      <c r="E9" s="57" t="n"/>
      <c r="F9" s="57" t="n"/>
    </row>
    <row r="10" ht="29" customHeight="1">
      <c r="A10" s="14" t="inlineStr">
        <is>
          <t>Contingency</t>
        </is>
      </c>
      <c r="B10" s="64">
        <f>Raise_AED-B9</f>
        <v>2380000</v>
      </c>
      <c r="C10" s="64">
        <f>B10/AED_per_USD</f>
        <v>648059.904697073</v>
      </c>
      <c r="D10" s="77">
        <f>B10/$B$11</f>
        <v>0.34</v>
      </c>
      <c r="E10" s="36" t="n"/>
      <c r="F10" s="32" t="inlineStr">
        <is>
          <t>The raise less the year-one budget. Pays for the months after the first 12.</t>
        </is>
      </c>
    </row>
    <row r="11" ht="16" customHeight="1">
      <c r="A11" s="17" t="inlineStr">
        <is>
          <t>Total raise</t>
        </is>
      </c>
      <c r="B11" s="68">
        <f>B9+B10</f>
        <v>7000000</v>
      </c>
      <c r="C11" s="68">
        <f>B11/AED_per_USD</f>
        <v>1906058.54322669</v>
      </c>
      <c r="D11" s="78">
        <f>B11/$B$11</f>
        <v>1</v>
      </c>
      <c r="E11" s="57" t="n"/>
      <c r="F11" s="60" t="inlineStr">
        <is>
          <t>The raise on the Assumptions sheet, converted to USD at the AED peg.</t>
        </is>
      </c>
    </row>
    <row r="12"/>
    <row r="13" ht="20" customHeight="1">
      <c r="A13" s="52" t="inlineStr">
        <is>
          <t>Runway at the year-one burn</t>
        </is>
      </c>
    </row>
    <row r="14" ht="16" customHeight="1">
      <c r="A14" s="9" t="inlineStr">
        <is>
          <t>Measure</t>
        </is>
      </c>
      <c r="B14" s="11" t="inlineStr">
        <is>
          <t>Value</t>
        </is>
      </c>
      <c r="C14" s="10" t="inlineStr">
        <is>
          <t>Unit</t>
        </is>
      </c>
      <c r="D14" s="11" t="inlineStr"/>
      <c r="E14" s="11" t="inlineStr"/>
      <c r="F14" s="10" t="inlineStr">
        <is>
          <t>Note</t>
        </is>
      </c>
    </row>
    <row r="15">
      <c r="A15" s="12" t="inlineStr">
        <is>
          <t>Monthly burn: year-one budget ÷ 12</t>
        </is>
      </c>
      <c r="B15" s="53">
        <f>B9/Months_Year</f>
        <v>385000</v>
      </c>
      <c r="C15" s="27" t="inlineStr">
        <is>
          <t>AED a month</t>
        </is>
      </c>
    </row>
    <row r="16" ht="29" customHeight="1">
      <c r="A16" s="66" t="inlineStr">
        <is>
          <t>Runway on the whole raise</t>
        </is>
      </c>
      <c r="B16" s="99">
        <f>B11/B15</f>
        <v>18.1818181818182</v>
      </c>
      <c r="C16" s="31" t="inlineStr">
        <is>
          <t>months</t>
        </is>
      </c>
      <c r="D16" s="36" t="n"/>
      <c r="E16" s="36" t="n"/>
      <c r="F16" s="32" t="inlineStr">
        <is>
          <t>The source of the plan's "about 18 months of runway": the whole raise at the year-one burn, ignoring revenue.</t>
        </is>
      </c>
    </row>
    <row r="17">
      <c r="A17" s="12" t="inlineStr">
        <is>
          <t>Months paid from the year-one budget</t>
        </is>
      </c>
      <c r="B17" s="100">
        <f>B9/B15</f>
        <v>12</v>
      </c>
      <c r="C17" s="27" t="inlineStr">
        <is>
          <t>months</t>
        </is>
      </c>
      <c r="F17" s="28" t="str">
        <f>"Months 1 to "&amp;ROUND(B17,0)&amp;"."</f>
        <v>Months 1 to 12.</v>
      </c>
    </row>
    <row r="18">
      <c r="A18" s="14" t="inlineStr">
        <is>
          <t>Months paid from the contingency</t>
        </is>
      </c>
      <c r="B18" s="101">
        <f>B10/B15</f>
        <v>6.18181818181818</v>
      </c>
      <c r="C18" s="31" t="inlineStr">
        <is>
          <t>months</t>
        </is>
      </c>
      <c r="D18" s="36" t="n"/>
      <c r="E18" s="36" t="n"/>
      <c r="F18" s="32" t="str">
        <f>IF(B10&lt;=0,"No contingency left after the budget.","Months "&amp;(ROUND(B17,0)+1)&amp;" to "&amp;INT(B16)&amp;IF(B16-INT(B16)&gt;0.001,", plus part of month "&amp;(INT(B16)+1),"")&amp;".")</f>
        <v>Months 13 to 18, plus part of month 19.</v>
      </c>
    </row>
    <row r="19">
      <c r="A19" s="21" t="inlineStr">
        <is>
          <t>Revenue would extend the runway; this view leaves it out on purpose.</t>
        </is>
      </c>
    </row>
    <row r="20"/>
    <row r="21" ht="20" customHeight="1">
      <c r="A21" s="52" t="inlineStr">
        <is>
          <t>Month by month: the whole raise at the year-one burn</t>
        </is>
      </c>
    </row>
    <row r="22" ht="16" customHeight="1">
      <c r="A22" s="9" t="inlineStr">
        <is>
          <t>Month</t>
        </is>
      </c>
      <c r="B22" s="11" t="inlineStr">
        <is>
          <t>Cash at the start</t>
        </is>
      </c>
      <c r="C22" s="11" t="inlineStr">
        <is>
          <t>Spent</t>
        </is>
      </c>
      <c r="D22" s="11" t="inlineStr">
        <is>
          <t>Cash at the end</t>
        </is>
      </c>
      <c r="E22" s="10" t="inlineStr">
        <is>
          <t>Paid from</t>
        </is>
      </c>
      <c r="F22" s="10" t="inlineStr">
        <is>
          <t>Note</t>
        </is>
      </c>
    </row>
    <row r="23">
      <c r="A23" s="102" t="n">
        <v>1</v>
      </c>
      <c r="B23" s="65">
        <f>B11</f>
        <v>7000000</v>
      </c>
      <c r="C23" s="65">
        <f>MIN($B$15,B23)</f>
        <v>385000</v>
      </c>
      <c r="D23" s="65">
        <f>B23-C23</f>
        <v>6615000</v>
      </c>
      <c r="E23" s="25" t="str">
        <f>IF(C23&lt;=0,"Nothing left",IF($B$11-D23&lt;=$B$9+0.5,"Year-one budget",IF(C23&lt;$B$15-0.5,"Contingency, part month","Contingency")))</f>
        <v>Year-one budget</v>
      </c>
      <c r="F23" s="27" t="inlineStr">
        <is>
          <t>Shaded months are paid from the contingency.</t>
        </is>
      </c>
    </row>
    <row r="24">
      <c r="A24" s="103">
        <f>A23+1</f>
        <v>2</v>
      </c>
      <c r="B24" s="64">
        <f>D23</f>
        <v>6615000</v>
      </c>
      <c r="C24" s="64">
        <f>MIN($B$15,B24)</f>
        <v>385000</v>
      </c>
      <c r="D24" s="64">
        <f>B24-C24</f>
        <v>6230000</v>
      </c>
      <c r="E24" s="29" t="str">
        <f>IF(C24&lt;=0,"Nothing left",IF($B$11-D24&lt;=$B$9+0.5,"Year-one budget",IF(C24&lt;$B$15-0.5,"Contingency, part month","Contingency")))</f>
        <v>Year-one budget</v>
      </c>
      <c r="F24" s="36" t="n"/>
    </row>
    <row r="25">
      <c r="A25" s="102">
        <f>A24+1</f>
        <v>3</v>
      </c>
      <c r="B25" s="65">
        <f>D24</f>
        <v>6230000</v>
      </c>
      <c r="C25" s="65">
        <f>MIN($B$15,B25)</f>
        <v>385000</v>
      </c>
      <c r="D25" s="65">
        <f>B25-C25</f>
        <v>5845000</v>
      </c>
      <c r="E25" s="25" t="str">
        <f>IF(C25&lt;=0,"Nothing left",IF($B$11-D25&lt;=$B$9+0.5,"Year-one budget",IF(C25&lt;$B$15-0.5,"Contingency, part month","Contingency")))</f>
        <v>Year-one budget</v>
      </c>
    </row>
    <row r="26">
      <c r="A26" s="103">
        <f>A25+1</f>
        <v>4</v>
      </c>
      <c r="B26" s="64">
        <f>D25</f>
        <v>5845000</v>
      </c>
      <c r="C26" s="64">
        <f>MIN($B$15,B26)</f>
        <v>385000</v>
      </c>
      <c r="D26" s="64">
        <f>B26-C26</f>
        <v>5460000</v>
      </c>
      <c r="E26" s="29" t="str">
        <f>IF(C26&lt;=0,"Nothing left",IF($B$11-D26&lt;=$B$9+0.5,"Year-one budget",IF(C26&lt;$B$15-0.5,"Contingency, part month","Contingency")))</f>
        <v>Year-one budget</v>
      </c>
      <c r="F26" s="36" t="n"/>
    </row>
    <row r="27">
      <c r="A27" s="102">
        <f>A26+1</f>
        <v>5</v>
      </c>
      <c r="B27" s="65">
        <f>D26</f>
        <v>5460000</v>
      </c>
      <c r="C27" s="65">
        <f>MIN($B$15,B27)</f>
        <v>385000</v>
      </c>
      <c r="D27" s="65">
        <f>B27-C27</f>
        <v>5075000</v>
      </c>
      <c r="E27" s="25" t="str">
        <f>IF(C27&lt;=0,"Nothing left",IF($B$11-D27&lt;=$B$9+0.5,"Year-one budget",IF(C27&lt;$B$15-0.5,"Contingency, part month","Contingency")))</f>
        <v>Year-one budget</v>
      </c>
    </row>
    <row r="28">
      <c r="A28" s="103">
        <f>A27+1</f>
        <v>6</v>
      </c>
      <c r="B28" s="64">
        <f>D27</f>
        <v>5075000</v>
      </c>
      <c r="C28" s="64">
        <f>MIN($B$15,B28)</f>
        <v>385000</v>
      </c>
      <c r="D28" s="64">
        <f>B28-C28</f>
        <v>4690000</v>
      </c>
      <c r="E28" s="29" t="str">
        <f>IF(C28&lt;=0,"Nothing left",IF($B$11-D28&lt;=$B$9+0.5,"Year-one budget",IF(C28&lt;$B$15-0.5,"Contingency, part month","Contingency")))</f>
        <v>Year-one budget</v>
      </c>
      <c r="F28" s="36" t="n"/>
    </row>
    <row r="29">
      <c r="A29" s="102">
        <f>A28+1</f>
        <v>7</v>
      </c>
      <c r="B29" s="65">
        <f>D28</f>
        <v>4690000</v>
      </c>
      <c r="C29" s="65">
        <f>MIN($B$15,B29)</f>
        <v>385000</v>
      </c>
      <c r="D29" s="65">
        <f>B29-C29</f>
        <v>4305000</v>
      </c>
      <c r="E29" s="25" t="str">
        <f>IF(C29&lt;=0,"Nothing left",IF($B$11-D29&lt;=$B$9+0.5,"Year-one budget",IF(C29&lt;$B$15-0.5,"Contingency, part month","Contingency")))</f>
        <v>Year-one budget</v>
      </c>
    </row>
    <row r="30">
      <c r="A30" s="103">
        <f>A29+1</f>
        <v>8</v>
      </c>
      <c r="B30" s="64">
        <f>D29</f>
        <v>4305000</v>
      </c>
      <c r="C30" s="64">
        <f>MIN($B$15,B30)</f>
        <v>385000</v>
      </c>
      <c r="D30" s="64">
        <f>B30-C30</f>
        <v>3920000</v>
      </c>
      <c r="E30" s="29" t="str">
        <f>IF(C30&lt;=0,"Nothing left",IF($B$11-D30&lt;=$B$9+0.5,"Year-one budget",IF(C30&lt;$B$15-0.5,"Contingency, part month","Contingency")))</f>
        <v>Year-one budget</v>
      </c>
      <c r="F30" s="36" t="n"/>
    </row>
    <row r="31">
      <c r="A31" s="102">
        <f>A30+1</f>
        <v>9</v>
      </c>
      <c r="B31" s="65">
        <f>D30</f>
        <v>3920000</v>
      </c>
      <c r="C31" s="65">
        <f>MIN($B$15,B31)</f>
        <v>385000</v>
      </c>
      <c r="D31" s="65">
        <f>B31-C31</f>
        <v>3535000</v>
      </c>
      <c r="E31" s="25" t="str">
        <f>IF(C31&lt;=0,"Nothing left",IF($B$11-D31&lt;=$B$9+0.5,"Year-one budget",IF(C31&lt;$B$15-0.5,"Contingency, part month","Contingency")))</f>
        <v>Year-one budget</v>
      </c>
    </row>
    <row r="32">
      <c r="A32" s="103">
        <f>A31+1</f>
        <v>10</v>
      </c>
      <c r="B32" s="64">
        <f>D31</f>
        <v>3535000</v>
      </c>
      <c r="C32" s="64">
        <f>MIN($B$15,B32)</f>
        <v>385000</v>
      </c>
      <c r="D32" s="64">
        <f>B32-C32</f>
        <v>3150000</v>
      </c>
      <c r="E32" s="29" t="str">
        <f>IF(C32&lt;=0,"Nothing left",IF($B$11-D32&lt;=$B$9+0.5,"Year-one budget",IF(C32&lt;$B$15-0.5,"Contingency, part month","Contingency")))</f>
        <v>Year-one budget</v>
      </c>
      <c r="F32" s="36" t="n"/>
    </row>
    <row r="33">
      <c r="A33" s="102">
        <f>A32+1</f>
        <v>11</v>
      </c>
      <c r="B33" s="65">
        <f>D32</f>
        <v>3150000</v>
      </c>
      <c r="C33" s="65">
        <f>MIN($B$15,B33)</f>
        <v>385000</v>
      </c>
      <c r="D33" s="65">
        <f>B33-C33</f>
        <v>2765000</v>
      </c>
      <c r="E33" s="25" t="str">
        <f>IF(C33&lt;=0,"Nothing left",IF($B$11-D33&lt;=$B$9+0.5,"Year-one budget",IF(C33&lt;$B$15-0.5,"Contingency, part month","Contingency")))</f>
        <v>Year-one budget</v>
      </c>
    </row>
    <row r="34">
      <c r="A34" s="103">
        <f>A33+1</f>
        <v>12</v>
      </c>
      <c r="B34" s="64">
        <f>D33</f>
        <v>2765000</v>
      </c>
      <c r="C34" s="64">
        <f>MIN($B$15,B34)</f>
        <v>385000</v>
      </c>
      <c r="D34" s="64">
        <f>B34-C34</f>
        <v>2380000</v>
      </c>
      <c r="E34" s="29" t="str">
        <f>IF(C34&lt;=0,"Nothing left",IF($B$11-D34&lt;=$B$9+0.5,"Year-one budget",IF(C34&lt;$B$15-0.5,"Contingency, part month","Contingency")))</f>
        <v>Year-one budget</v>
      </c>
      <c r="F34" s="36" t="n"/>
    </row>
    <row r="35">
      <c r="A35" s="102">
        <f>A34+1</f>
        <v>13</v>
      </c>
      <c r="B35" s="65">
        <f>D34</f>
        <v>2380000</v>
      </c>
      <c r="C35" s="65">
        <f>MIN($B$15,B35)</f>
        <v>385000</v>
      </c>
      <c r="D35" s="65">
        <f>B35-C35</f>
        <v>1995000</v>
      </c>
      <c r="E35" s="25" t="str">
        <f>IF(C35&lt;=0,"Nothing left",IF($B$11-D35&lt;=$B$9+0.5,"Year-one budget",IF(C35&lt;$B$15-0.5,"Contingency, part month","Contingency")))</f>
        <v>Contingency</v>
      </c>
    </row>
    <row r="36">
      <c r="A36" s="103">
        <f>A35+1</f>
        <v>14</v>
      </c>
      <c r="B36" s="64">
        <f>D35</f>
        <v>1995000</v>
      </c>
      <c r="C36" s="64">
        <f>MIN($B$15,B36)</f>
        <v>385000</v>
      </c>
      <c r="D36" s="64">
        <f>B36-C36</f>
        <v>1610000</v>
      </c>
      <c r="E36" s="29" t="str">
        <f>IF(C36&lt;=0,"Nothing left",IF($B$11-D36&lt;=$B$9+0.5,"Year-one budget",IF(C36&lt;$B$15-0.5,"Contingency, part month","Contingency")))</f>
        <v>Contingency</v>
      </c>
      <c r="F36" s="36" t="n"/>
    </row>
    <row r="37">
      <c r="A37" s="102">
        <f>A36+1</f>
        <v>15</v>
      </c>
      <c r="B37" s="65">
        <f>D36</f>
        <v>1610000</v>
      </c>
      <c r="C37" s="65">
        <f>MIN($B$15,B37)</f>
        <v>385000</v>
      </c>
      <c r="D37" s="65">
        <f>B37-C37</f>
        <v>1225000</v>
      </c>
      <c r="E37" s="25" t="str">
        <f>IF(C37&lt;=0,"Nothing left",IF($B$11-D37&lt;=$B$9+0.5,"Year-one budget",IF(C37&lt;$B$15-0.5,"Contingency, part month","Contingency")))</f>
        <v>Contingency</v>
      </c>
    </row>
    <row r="38">
      <c r="A38" s="103">
        <f>A37+1</f>
        <v>16</v>
      </c>
      <c r="B38" s="64">
        <f>D37</f>
        <v>1225000</v>
      </c>
      <c r="C38" s="64">
        <f>MIN($B$15,B38)</f>
        <v>385000</v>
      </c>
      <c r="D38" s="64">
        <f>B38-C38</f>
        <v>840000</v>
      </c>
      <c r="E38" s="29" t="str">
        <f>IF(C38&lt;=0,"Nothing left",IF($B$11-D38&lt;=$B$9+0.5,"Year-one budget",IF(C38&lt;$B$15-0.5,"Contingency, part month","Contingency")))</f>
        <v>Contingency</v>
      </c>
      <c r="F38" s="36" t="n"/>
    </row>
    <row r="39">
      <c r="A39" s="102">
        <f>A38+1</f>
        <v>17</v>
      </c>
      <c r="B39" s="65">
        <f>D38</f>
        <v>840000</v>
      </c>
      <c r="C39" s="65">
        <f>MIN($B$15,B39)</f>
        <v>385000</v>
      </c>
      <c r="D39" s="65">
        <f>B39-C39</f>
        <v>455000</v>
      </c>
      <c r="E39" s="25" t="str">
        <f>IF(C39&lt;=0,"Nothing left",IF($B$11-D39&lt;=$B$9+0.5,"Year-one budget",IF(C39&lt;$B$15-0.5,"Contingency, part month","Contingency")))</f>
        <v>Contingency</v>
      </c>
    </row>
    <row r="40">
      <c r="A40" s="103">
        <f>A39+1</f>
        <v>18</v>
      </c>
      <c r="B40" s="64">
        <f>D39</f>
        <v>455000</v>
      </c>
      <c r="C40" s="64">
        <f>MIN($B$15,B40)</f>
        <v>385000</v>
      </c>
      <c r="D40" s="64">
        <f>B40-C40</f>
        <v>70000</v>
      </c>
      <c r="E40" s="29" t="str">
        <f>IF(C40&lt;=0,"Nothing left",IF($B$11-D40&lt;=$B$9+0.5,"Year-one budget",IF(C40&lt;$B$15-0.5,"Contingency, part month","Contingency")))</f>
        <v>Contingency</v>
      </c>
      <c r="F40" s="36" t="n"/>
    </row>
    <row r="41">
      <c r="A41" s="102">
        <f>A40+1</f>
        <v>19</v>
      </c>
      <c r="B41" s="65">
        <f>D40</f>
        <v>70000</v>
      </c>
      <c r="C41" s="65">
        <f>MIN($B$15,B41)</f>
        <v>70000</v>
      </c>
      <c r="D41" s="65">
        <f>B41-C41</f>
        <v>0</v>
      </c>
      <c r="E41" s="25" t="str">
        <f>IF(C41&lt;=0,"Nothing left",IF($B$11-D41&lt;=$B$9+0.5,"Year-one budget",IF(C41&lt;$B$15-0.5,"Contingency, part month","Contingency")))</f>
        <v>Contingency, part month</v>
      </c>
    </row>
    <row r="42">
      <c r="A42" s="103">
        <f>A41+1</f>
        <v>20</v>
      </c>
      <c r="B42" s="64">
        <f>D41</f>
        <v>0</v>
      </c>
      <c r="C42" s="64">
        <f>MIN($B$15,B42)</f>
        <v>0</v>
      </c>
      <c r="D42" s="64">
        <f>B42-C42</f>
        <v>0</v>
      </c>
      <c r="E42" s="29" t="str">
        <f>IF(C42&lt;=0,"Nothing left",IF($B$11-D42&lt;=$B$9+0.5,"Year-one budget",IF(C42&lt;$B$15-0.5,"Contingency, part month","Contingency")))</f>
        <v>Nothing left</v>
      </c>
      <c r="F42" s="36" t="n"/>
    </row>
    <row r="43">
      <c r="A43" s="102">
        <f>A42+1</f>
        <v>21</v>
      </c>
      <c r="B43" s="65">
        <f>D42</f>
        <v>0</v>
      </c>
      <c r="C43" s="65">
        <f>MIN($B$15,B43)</f>
        <v>0</v>
      </c>
      <c r="D43" s="65">
        <f>B43-C43</f>
        <v>0</v>
      </c>
      <c r="E43" s="25" t="str">
        <f>IF(C43&lt;=0,"Nothing left",IF($B$11-D43&lt;=$B$9+0.5,"Year-one budget",IF(C43&lt;$B$15-0.5,"Contingency, part month","Contingency")))</f>
        <v>Nothing left</v>
      </c>
    </row>
    <row r="44">
      <c r="A44" s="103">
        <f>A43+1</f>
        <v>22</v>
      </c>
      <c r="B44" s="64">
        <f>D43</f>
        <v>0</v>
      </c>
      <c r="C44" s="64">
        <f>MIN($B$15,B44)</f>
        <v>0</v>
      </c>
      <c r="D44" s="64">
        <f>B44-C44</f>
        <v>0</v>
      </c>
      <c r="E44" s="29" t="str">
        <f>IF(C44&lt;=0,"Nothing left",IF($B$11-D44&lt;=$B$9+0.5,"Year-one budget",IF(C44&lt;$B$15-0.5,"Contingency, part month","Contingency")))</f>
        <v>Nothing left</v>
      </c>
      <c r="F44" s="36" t="n"/>
    </row>
    <row r="45">
      <c r="A45" s="102">
        <f>A44+1</f>
        <v>23</v>
      </c>
      <c r="B45" s="65">
        <f>D44</f>
        <v>0</v>
      </c>
      <c r="C45" s="65">
        <f>MIN($B$15,B45)</f>
        <v>0</v>
      </c>
      <c r="D45" s="65">
        <f>B45-C45</f>
        <v>0</v>
      </c>
      <c r="E45" s="25" t="str">
        <f>IF(C45&lt;=0,"Nothing left",IF($B$11-D45&lt;=$B$9+0.5,"Year-one budget",IF(C45&lt;$B$15-0.5,"Contingency, part month","Contingency")))</f>
        <v>Nothing left</v>
      </c>
    </row>
    <row r="46">
      <c r="A46" s="103">
        <f>A45+1</f>
        <v>24</v>
      </c>
      <c r="B46" s="64">
        <f>D45</f>
        <v>0</v>
      </c>
      <c r="C46" s="64">
        <f>MIN($B$15,B46)</f>
        <v>0</v>
      </c>
      <c r="D46" s="64">
        <f>B46-C46</f>
        <v>0</v>
      </c>
      <c r="E46" s="29" t="str">
        <f>IF(C46&lt;=0,"Nothing left",IF($B$11-D46&lt;=$B$9+0.5,"Year-one budget",IF(C46&lt;$B$15-0.5,"Contingency, part month","Contingency")))</f>
        <v>Nothing left</v>
      </c>
      <c r="F46" s="36" t="n"/>
    </row>
  </sheetData>
  <conditionalFormatting sqref="A23:E46">
    <cfRule type="expression" priority="1" dxfId="1">
      <formula>LEFT($E23,11)="Contingency"</formula>
    </cfRule>
    <cfRule type="expression" priority="2" dxfId="2">
      <formula>$E23="Nothing left"</formula>
    </cfRule>
  </conditionalFormatting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Stevan Litobac</dc:creator>
  <dc:title>ELA year-one financial model</dc:title>
  <dcterms:created xsi:type="dcterms:W3CDTF">2026-10-02T09:34:03Z</dcterms:created>
  <dcterms:modified xsi:type="dcterms:W3CDTF">2026-10-02T09:34:03Z</dcterms:modified>
</cp:coreProperties>
</file>